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1.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3.xml" ContentType="application/vnd.openxmlformats-officedocument.themeOverride+xml"/>
  <Override PartName="/xl/drawings/drawing9.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4.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2.xml" ContentType="application/vnd.openxmlformats-officedocument.drawing+xml"/>
  <Override PartName="/xl/drawings/drawing13.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4.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6.xml" ContentType="application/vnd.openxmlformats-officedocument.themeOverride+xml"/>
  <Override PartName="/xl/drawings/drawing15.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6.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7.xml" ContentType="application/vnd.openxmlformats-officedocument.themeOverride+xml"/>
  <Override PartName="/xl/drawings/drawing17.xml" ContentType="application/vnd.openxmlformats-officedocument.drawingml.chartshapes+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8.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1.xml" ContentType="application/vnd.openxmlformats-officedocument.drawing+xml"/>
  <Override PartName="/xl/drawings/drawing22.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23.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9.xml" ContentType="application/vnd.openxmlformats-officedocument.themeOverrid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10.xml" ContentType="application/vnd.openxmlformats-officedocument.themeOverride+xml"/>
  <Override PartName="/xl/drawings/drawing24.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25.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theme/themeOverride11.xml" ContentType="application/vnd.openxmlformats-officedocument.themeOverride+xml"/>
  <Override PartName="/xl/drawings/drawing26.xml" ContentType="application/vnd.openxmlformats-officedocument.drawingml.chartshapes+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theme/themeOverride12.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29.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drawings/drawing30.xml" ContentType="application/vnd.openxmlformats-officedocument.drawing+xml"/>
  <Override PartName="/xl/drawings/drawing31.xml" ContentType="application/vnd.openxmlformats-officedocument.drawing+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drawings/drawing32.xml" ContentType="application/vnd.openxmlformats-officedocument.drawing+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theme/themeOverride13.xml" ContentType="application/vnd.openxmlformats-officedocument.themeOverrid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theme/themeOverride14.xml" ContentType="application/vnd.openxmlformats-officedocument.themeOverride+xml"/>
  <Override PartName="/xl/drawings/drawing33.xml" ContentType="application/vnd.openxmlformats-officedocument.drawing+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drawings/drawing34.xml" ContentType="application/vnd.openxmlformats-officedocument.drawing+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theme/themeOverride15.xml" ContentType="application/vnd.openxmlformats-officedocument.themeOverride+xml"/>
  <Override PartName="/xl/drawings/drawing35.xml" ContentType="application/vnd.openxmlformats-officedocument.drawingml.chartshapes+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theme/themeOverride16.xml" ContentType="application/vnd.openxmlformats-officedocument.themeOverride+xml"/>
  <Override PartName="/xl/drawings/drawing36.xml" ContentType="application/vnd.openxmlformats-officedocument.drawingml.chartshapes+xml"/>
  <Override PartName="/xl/drawings/drawing37.xml" ContentType="application/vnd.openxmlformats-officedocument.drawing+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drawings/drawing3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talent2025inc.sharepoint.com/sites/SharedDrive/Shared Documents/Working Groups/Talent Demand/Initiatives/ECIC Wage Study/Report/Data/Final_Datasets_Regions/"/>
    </mc:Choice>
  </mc:AlternateContent>
  <xr:revisionPtr revIDLastSave="6076" documentId="8_{C35C686B-21C5-40FC-8B6C-8853F62AA08B}" xr6:coauthVersionLast="47" xr6:coauthVersionMax="47" xr10:uidLastSave="{4F9CD682-7EDA-49B4-BC39-5A95F056D83C}"/>
  <bookViews>
    <workbookView xWindow="-120" yWindow="-120" windowWidth="23280" windowHeight="12480" xr2:uid="{AF3660DE-FA48-478F-90AA-0618152F5C5D}"/>
  </bookViews>
  <sheets>
    <sheet name="Main Menu" sheetId="2" r:id="rId1"/>
    <sheet name="1A" sheetId="13" r:id="rId2"/>
    <sheet name="1B" sheetId="12" r:id="rId3"/>
    <sheet name="2A" sheetId="15" r:id="rId4"/>
    <sheet name="2B" sheetId="17" r:id="rId5"/>
    <sheet name="2C" sheetId="18" r:id="rId6"/>
    <sheet name="2E" sheetId="20" r:id="rId7"/>
    <sheet name="2D" sheetId="19" r:id="rId8"/>
    <sheet name="2F" sheetId="21" r:id="rId9"/>
    <sheet name="2G" sheetId="31" r:id="rId10"/>
    <sheet name="3A" sheetId="22" r:id="rId11"/>
    <sheet name="3B" sheetId="26" r:id="rId12"/>
    <sheet name="3C" sheetId="32" r:id="rId13"/>
    <sheet name="3D" sheetId="33" r:id="rId14"/>
    <sheet name="3E" sheetId="29" r:id="rId15"/>
    <sheet name="3F" sheetId="30" r:id="rId16"/>
    <sheet name="3G" sheetId="34" r:id="rId17"/>
    <sheet name="4A" sheetId="23" r:id="rId18"/>
    <sheet name="4B" sheetId="35" r:id="rId19"/>
    <sheet name="4C" sheetId="36" r:id="rId20"/>
    <sheet name="4D" sheetId="37" r:id="rId21"/>
    <sheet name="4E" sheetId="38" r:id="rId22"/>
    <sheet name="4F" sheetId="39" r:id="rId23"/>
    <sheet name="4G" sheetId="40" r:id="rId24"/>
    <sheet name="5A" sheetId="25" r:id="rId25"/>
    <sheet name="5B" sheetId="41" r:id="rId26"/>
    <sheet name="5C" sheetId="48" r:id="rId27"/>
    <sheet name="5D" sheetId="43" r:id="rId28"/>
    <sheet name="5E" sheetId="44" r:id="rId29"/>
    <sheet name="5F" sheetId="45" r:id="rId30"/>
    <sheet name="5G" sheetId="46" r:id="rId31"/>
  </sheets>
  <externalReferences>
    <externalReference r:id="rId32"/>
    <externalReference r:id="rId33"/>
  </externalReferences>
  <definedNames>
    <definedName name="_GoBack" localSheetId="2">'1B'!#REF!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41" l="1"/>
  <c r="F8" i="41"/>
  <c r="F9" i="41"/>
  <c r="F10" i="41"/>
  <c r="F11" i="41"/>
  <c r="F12" i="41"/>
  <c r="F6" i="41"/>
  <c r="F7" i="35"/>
  <c r="F8" i="35"/>
  <c r="F9" i="35"/>
  <c r="F10" i="35"/>
  <c r="F11" i="35"/>
  <c r="F12" i="35"/>
  <c r="F6" i="35"/>
  <c r="F7" i="17"/>
  <c r="F8" i="17"/>
  <c r="F9" i="17"/>
  <c r="F10" i="17"/>
  <c r="F11" i="17"/>
  <c r="F12" i="17"/>
  <c r="F6" i="17"/>
  <c r="F7" i="26"/>
  <c r="F8" i="26"/>
  <c r="F9" i="26"/>
  <c r="F10" i="26"/>
  <c r="F11" i="26"/>
  <c r="F12" i="26"/>
  <c r="F6" i="26"/>
  <c r="B30" i="13"/>
  <c r="B31" i="13"/>
  <c r="B32" i="13"/>
  <c r="B29" i="13"/>
  <c r="T43" i="48"/>
  <c r="U43" i="48" s="1"/>
  <c r="U42" i="48"/>
  <c r="T42" i="48"/>
  <c r="T41" i="48"/>
  <c r="U41" i="48" s="1"/>
  <c r="U40" i="48"/>
  <c r="T40" i="48"/>
  <c r="T39" i="48"/>
  <c r="U39" i="48" s="1"/>
  <c r="T38" i="48"/>
  <c r="U38" i="48" s="1"/>
  <c r="T43" i="36"/>
  <c r="U43" i="36" s="1"/>
  <c r="U42" i="36"/>
  <c r="T42" i="36"/>
  <c r="T41" i="36"/>
  <c r="U41" i="36" s="1"/>
  <c r="T40" i="36"/>
  <c r="U40" i="36" s="1"/>
  <c r="U39" i="36"/>
  <c r="T39" i="36"/>
  <c r="T38" i="36"/>
  <c r="U38" i="36" s="1"/>
  <c r="T43" i="32"/>
  <c r="U43" i="32" s="1"/>
  <c r="U42" i="32"/>
  <c r="T42" i="32"/>
  <c r="T41" i="32"/>
  <c r="U41" i="32" s="1"/>
  <c r="T40" i="32"/>
  <c r="U40" i="32" s="1"/>
  <c r="T39" i="32"/>
  <c r="U39" i="32" s="1"/>
  <c r="T38" i="32"/>
  <c r="U38" i="32" s="1"/>
  <c r="U39" i="18"/>
  <c r="U38" i="18"/>
  <c r="T38" i="18"/>
  <c r="T39" i="18"/>
  <c r="T40" i="18"/>
  <c r="T41" i="18"/>
  <c r="T42" i="18"/>
  <c r="T43" i="18"/>
  <c r="U40" i="18"/>
  <c r="U41" i="18"/>
  <c r="U42" i="18"/>
  <c r="U43" i="18"/>
  <c r="D12" i="48" l="1"/>
  <c r="D11" i="48"/>
  <c r="D10" i="48"/>
  <c r="D9" i="48"/>
  <c r="D8" i="48"/>
  <c r="S53" i="48"/>
  <c r="H12" i="48" s="1"/>
  <c r="R53" i="48"/>
  <c r="Q53" i="48"/>
  <c r="P53" i="48"/>
  <c r="O53" i="48"/>
  <c r="N53" i="48"/>
  <c r="M53" i="48"/>
  <c r="L53" i="48"/>
  <c r="K53" i="48"/>
  <c r="J53" i="48"/>
  <c r="I53" i="48"/>
  <c r="H53" i="48"/>
  <c r="G53" i="48"/>
  <c r="F53" i="48"/>
  <c r="E53" i="48"/>
  <c r="D53" i="48"/>
  <c r="C53" i="48"/>
  <c r="B53" i="48"/>
  <c r="S52" i="48"/>
  <c r="H11" i="48" s="1"/>
  <c r="R52" i="48"/>
  <c r="Q52" i="48"/>
  <c r="P52" i="48"/>
  <c r="O52" i="48"/>
  <c r="N52" i="48"/>
  <c r="M52" i="48"/>
  <c r="L52" i="48"/>
  <c r="K52" i="48"/>
  <c r="J52" i="48"/>
  <c r="I52" i="48"/>
  <c r="H52" i="48"/>
  <c r="G52" i="48"/>
  <c r="F52" i="48"/>
  <c r="E52" i="48"/>
  <c r="D52" i="48"/>
  <c r="C52" i="48"/>
  <c r="B52" i="48"/>
  <c r="S49" i="48"/>
  <c r="H8" i="48" s="1"/>
  <c r="R49" i="48"/>
  <c r="Q49" i="48"/>
  <c r="P49" i="48"/>
  <c r="O49" i="48"/>
  <c r="N49" i="48"/>
  <c r="M49" i="48"/>
  <c r="L49" i="48"/>
  <c r="K49" i="48"/>
  <c r="J49" i="48"/>
  <c r="I49" i="48"/>
  <c r="H49" i="48"/>
  <c r="G49" i="48"/>
  <c r="F49" i="48"/>
  <c r="E49" i="48"/>
  <c r="D49" i="48"/>
  <c r="C49" i="48"/>
  <c r="B49" i="48"/>
  <c r="S51" i="48"/>
  <c r="H10" i="48" s="1"/>
  <c r="R51" i="48"/>
  <c r="Q51" i="48"/>
  <c r="P51" i="48"/>
  <c r="O51" i="48"/>
  <c r="N51" i="48"/>
  <c r="M51" i="48"/>
  <c r="L51" i="48"/>
  <c r="K51" i="48"/>
  <c r="J51" i="48"/>
  <c r="I51" i="48"/>
  <c r="H51" i="48"/>
  <c r="G51" i="48"/>
  <c r="F51" i="48"/>
  <c r="E51" i="48"/>
  <c r="D51" i="48"/>
  <c r="C51" i="48"/>
  <c r="B51" i="48"/>
  <c r="S50" i="48"/>
  <c r="H9" i="48" s="1"/>
  <c r="R50" i="48"/>
  <c r="Q50" i="48"/>
  <c r="P50" i="48"/>
  <c r="O50" i="48"/>
  <c r="N50" i="48"/>
  <c r="M50" i="48"/>
  <c r="L50" i="48"/>
  <c r="K50" i="48"/>
  <c r="J50" i="48"/>
  <c r="I50" i="48"/>
  <c r="H50" i="48"/>
  <c r="G50" i="48"/>
  <c r="F50" i="48"/>
  <c r="E50" i="48"/>
  <c r="D50" i="48"/>
  <c r="C50" i="48"/>
  <c r="B50" i="48"/>
  <c r="S48" i="48"/>
  <c r="H7" i="48" s="1"/>
  <c r="R48" i="48"/>
  <c r="Q48" i="48"/>
  <c r="P48" i="48"/>
  <c r="O48" i="48"/>
  <c r="N48" i="48"/>
  <c r="M48" i="48"/>
  <c r="L48" i="48"/>
  <c r="K48" i="48"/>
  <c r="J48" i="48"/>
  <c r="I48" i="48"/>
  <c r="H48" i="48"/>
  <c r="G48" i="48"/>
  <c r="F48" i="48"/>
  <c r="E48" i="48"/>
  <c r="D48" i="48"/>
  <c r="C48" i="48"/>
  <c r="B48" i="48"/>
  <c r="W34" i="48"/>
  <c r="V34" i="48"/>
  <c r="U34" i="48"/>
  <c r="T34" i="48"/>
  <c r="S34" i="48"/>
  <c r="R34" i="48"/>
  <c r="Q34" i="48"/>
  <c r="P34" i="48"/>
  <c r="O34" i="48"/>
  <c r="N34" i="48"/>
  <c r="M34" i="48"/>
  <c r="L34" i="48"/>
  <c r="K34" i="48"/>
  <c r="J34" i="48"/>
  <c r="I34" i="48"/>
  <c r="H34" i="48"/>
  <c r="G34" i="48"/>
  <c r="F34" i="48"/>
  <c r="E34" i="48"/>
  <c r="D34" i="48"/>
  <c r="C34" i="48"/>
  <c r="B34" i="48"/>
  <c r="W33" i="48"/>
  <c r="F11" i="48" s="1"/>
  <c r="V33" i="48"/>
  <c r="U33" i="48"/>
  <c r="T33" i="48"/>
  <c r="S33" i="48"/>
  <c r="R33" i="48"/>
  <c r="Q33" i="48"/>
  <c r="P33" i="48"/>
  <c r="O33" i="48"/>
  <c r="N33" i="48"/>
  <c r="M33" i="48"/>
  <c r="L33" i="48"/>
  <c r="K33" i="48"/>
  <c r="J33" i="48"/>
  <c r="I33" i="48"/>
  <c r="H33" i="48"/>
  <c r="G33" i="48"/>
  <c r="F33" i="48"/>
  <c r="E33" i="48"/>
  <c r="D33" i="48"/>
  <c r="C33" i="48"/>
  <c r="B33" i="48"/>
  <c r="W30" i="48"/>
  <c r="F8" i="48" s="1"/>
  <c r="V30" i="48"/>
  <c r="U30" i="48"/>
  <c r="T30" i="48"/>
  <c r="S30" i="48"/>
  <c r="R30" i="48"/>
  <c r="Q30" i="48"/>
  <c r="P30" i="48"/>
  <c r="O30" i="48"/>
  <c r="N30" i="48"/>
  <c r="M30" i="48"/>
  <c r="L30" i="48"/>
  <c r="K30" i="48"/>
  <c r="J30" i="48"/>
  <c r="I30" i="48"/>
  <c r="H30" i="48"/>
  <c r="G30" i="48"/>
  <c r="F30" i="48"/>
  <c r="E30" i="48"/>
  <c r="D30" i="48"/>
  <c r="C30" i="48"/>
  <c r="B30" i="48"/>
  <c r="W32" i="48"/>
  <c r="F10" i="48" s="1"/>
  <c r="V32" i="48"/>
  <c r="U32" i="48"/>
  <c r="T32" i="48"/>
  <c r="S32" i="48"/>
  <c r="R32" i="48"/>
  <c r="Q32" i="48"/>
  <c r="P32" i="48"/>
  <c r="O32" i="48"/>
  <c r="N32" i="48"/>
  <c r="M32" i="48"/>
  <c r="L32" i="48"/>
  <c r="K32" i="48"/>
  <c r="J32" i="48"/>
  <c r="I32" i="48"/>
  <c r="H32" i="48"/>
  <c r="G32" i="48"/>
  <c r="F32" i="48"/>
  <c r="E32" i="48"/>
  <c r="D32" i="48"/>
  <c r="C32" i="48"/>
  <c r="B32" i="48"/>
  <c r="W31" i="48"/>
  <c r="F9" i="48" s="1"/>
  <c r="V31" i="48"/>
  <c r="U31" i="48"/>
  <c r="T31" i="48"/>
  <c r="S31" i="48"/>
  <c r="R31" i="48"/>
  <c r="Q31" i="48"/>
  <c r="P31" i="48"/>
  <c r="O31" i="48"/>
  <c r="N31" i="48"/>
  <c r="M31" i="48"/>
  <c r="L31" i="48"/>
  <c r="K31" i="48"/>
  <c r="J31" i="48"/>
  <c r="I31" i="48"/>
  <c r="H31" i="48"/>
  <c r="G31" i="48"/>
  <c r="F31" i="48"/>
  <c r="E31" i="48"/>
  <c r="D31" i="48"/>
  <c r="C31" i="48"/>
  <c r="B31" i="48"/>
  <c r="W29" i="48"/>
  <c r="F7" i="48" s="1"/>
  <c r="V29" i="48"/>
  <c r="U29" i="48"/>
  <c r="T29" i="48"/>
  <c r="S29" i="48"/>
  <c r="R29" i="48"/>
  <c r="Q29" i="48"/>
  <c r="P29" i="48"/>
  <c r="O29" i="48"/>
  <c r="N29" i="48"/>
  <c r="M29" i="48"/>
  <c r="L29" i="48"/>
  <c r="K29" i="48"/>
  <c r="J29" i="48"/>
  <c r="I29" i="48"/>
  <c r="H29" i="48"/>
  <c r="G29" i="48"/>
  <c r="F29" i="48"/>
  <c r="E29" i="48"/>
  <c r="D29" i="48"/>
  <c r="C29" i="48"/>
  <c r="B29" i="48"/>
  <c r="G12" i="48"/>
  <c r="F12" i="48"/>
  <c r="E12" i="48"/>
  <c r="G11" i="48"/>
  <c r="E11" i="48"/>
  <c r="G8" i="48"/>
  <c r="E8" i="48"/>
  <c r="G10" i="48"/>
  <c r="E10" i="48"/>
  <c r="G9" i="48"/>
  <c r="E9" i="48"/>
  <c r="G7" i="48"/>
  <c r="E7" i="48"/>
  <c r="H12" i="32"/>
  <c r="G12" i="32"/>
  <c r="F12" i="32"/>
  <c r="E12" i="32"/>
  <c r="D12" i="32"/>
  <c r="H11" i="32"/>
  <c r="G11" i="32"/>
  <c r="F11" i="32"/>
  <c r="E11" i="32"/>
  <c r="D11" i="32"/>
  <c r="H10" i="32"/>
  <c r="G10" i="32"/>
  <c r="F10" i="32"/>
  <c r="E10" i="32"/>
  <c r="D10" i="32"/>
  <c r="H9" i="32"/>
  <c r="G9" i="32"/>
  <c r="F9" i="32"/>
  <c r="E9" i="32"/>
  <c r="D9" i="32"/>
  <c r="H8" i="32"/>
  <c r="G8" i="32"/>
  <c r="F8" i="32"/>
  <c r="E8" i="32"/>
  <c r="D8" i="32"/>
  <c r="W33" i="32"/>
  <c r="B33" i="32"/>
  <c r="D10" i="18"/>
  <c r="Y33" i="25"/>
  <c r="Y34" i="25" s="1"/>
  <c r="Y35" i="25" s="1"/>
  <c r="Y36" i="25" s="1"/>
  <c r="Y37" i="25" s="1"/>
  <c r="Y38" i="25" s="1"/>
  <c r="Y39" i="25" s="1"/>
  <c r="Y40" i="25" s="1"/>
  <c r="Y41" i="25" s="1"/>
  <c r="Y42" i="25" s="1"/>
  <c r="Y43" i="25" s="1"/>
  <c r="Y44" i="25" s="1"/>
  <c r="Y45" i="25" s="1"/>
  <c r="Y46" i="25" s="1"/>
  <c r="Y47" i="25" s="1"/>
  <c r="Y48" i="25" s="1"/>
  <c r="Y49" i="25" s="1"/>
  <c r="Y50" i="25" s="1"/>
  <c r="Y32" i="25"/>
  <c r="X32" i="25"/>
  <c r="X33" i="25" s="1"/>
  <c r="X34" i="25" s="1"/>
  <c r="X35" i="25" s="1"/>
  <c r="X36" i="25" s="1"/>
  <c r="X37" i="25" s="1"/>
  <c r="X38" i="25" s="1"/>
  <c r="X39" i="25" s="1"/>
  <c r="X40" i="25" s="1"/>
  <c r="X41" i="25" s="1"/>
  <c r="X42" i="25" s="1"/>
  <c r="X43" i="25" s="1"/>
  <c r="X44" i="25" s="1"/>
  <c r="X45" i="25" s="1"/>
  <c r="X46" i="25" s="1"/>
  <c r="X47" i="25" s="1"/>
  <c r="X48" i="25" s="1"/>
  <c r="X49" i="25" s="1"/>
  <c r="X50" i="25" s="1"/>
  <c r="W32" i="25"/>
  <c r="W33" i="25" s="1"/>
  <c r="W34" i="25" s="1"/>
  <c r="W35" i="25" s="1"/>
  <c r="W36" i="25" s="1"/>
  <c r="W37" i="25" s="1"/>
  <c r="W38" i="25" s="1"/>
  <c r="W39" i="25" s="1"/>
  <c r="W40" i="25" s="1"/>
  <c r="W41" i="25" s="1"/>
  <c r="W42" i="25" s="1"/>
  <c r="W43" i="25" s="1"/>
  <c r="W44" i="25" s="1"/>
  <c r="W45" i="25" s="1"/>
  <c r="W46" i="25" s="1"/>
  <c r="W47" i="25" s="1"/>
  <c r="W48" i="25" s="1"/>
  <c r="W49" i="25" s="1"/>
  <c r="W50" i="25" s="1"/>
  <c r="V32" i="25"/>
  <c r="V33" i="25" s="1"/>
  <c r="V34" i="25" s="1"/>
  <c r="V35" i="25" s="1"/>
  <c r="V36" i="25" s="1"/>
  <c r="V37" i="25" s="1"/>
  <c r="V38" i="25" s="1"/>
  <c r="V39" i="25" s="1"/>
  <c r="V40" i="25" s="1"/>
  <c r="V41" i="25" s="1"/>
  <c r="V42" i="25" s="1"/>
  <c r="V43" i="25" s="1"/>
  <c r="V44" i="25" s="1"/>
  <c r="V45" i="25" s="1"/>
  <c r="V46" i="25" s="1"/>
  <c r="V47" i="25" s="1"/>
  <c r="V48" i="25" s="1"/>
  <c r="V49" i="25" s="1"/>
  <c r="V50" i="25" s="1"/>
  <c r="Y31" i="25"/>
  <c r="X31" i="25"/>
  <c r="W31" i="25"/>
  <c r="V31" i="25"/>
  <c r="Y7" i="25"/>
  <c r="Y8" i="25" s="1"/>
  <c r="Y9" i="25" s="1"/>
  <c r="Y10" i="25" s="1"/>
  <c r="Y11" i="25" s="1"/>
  <c r="Y12" i="25" s="1"/>
  <c r="Y13" i="25" s="1"/>
  <c r="Y14" i="25" s="1"/>
  <c r="Y15" i="25" s="1"/>
  <c r="Y16" i="25" s="1"/>
  <c r="Y17" i="25" s="1"/>
  <c r="Y18" i="25" s="1"/>
  <c r="Y19" i="25" s="1"/>
  <c r="Y20" i="25" s="1"/>
  <c r="Y21" i="25" s="1"/>
  <c r="Y22" i="25" s="1"/>
  <c r="Y23" i="25" s="1"/>
  <c r="Y24" i="25" s="1"/>
  <c r="Y25" i="25" s="1"/>
  <c r="Y6" i="25"/>
  <c r="X6" i="25"/>
  <c r="X7" i="25" s="1"/>
  <c r="X8" i="25" s="1"/>
  <c r="X9" i="25" s="1"/>
  <c r="X10" i="25" s="1"/>
  <c r="X11" i="25" s="1"/>
  <c r="X12" i="25" s="1"/>
  <c r="X13" i="25" s="1"/>
  <c r="X14" i="25" s="1"/>
  <c r="X15" i="25" s="1"/>
  <c r="X16" i="25" s="1"/>
  <c r="X17" i="25" s="1"/>
  <c r="X18" i="25" s="1"/>
  <c r="X19" i="25" s="1"/>
  <c r="X20" i="25" s="1"/>
  <c r="X21" i="25" s="1"/>
  <c r="X22" i="25" s="1"/>
  <c r="X23" i="25" s="1"/>
  <c r="X24" i="25" s="1"/>
  <c r="X25" i="25" s="1"/>
  <c r="W6" i="25"/>
  <c r="W7" i="25" s="1"/>
  <c r="W8" i="25" s="1"/>
  <c r="W9" i="25" s="1"/>
  <c r="W10" i="25" s="1"/>
  <c r="W11" i="25" s="1"/>
  <c r="W12" i="25" s="1"/>
  <c r="W13" i="25" s="1"/>
  <c r="W14" i="25" s="1"/>
  <c r="W15" i="25" s="1"/>
  <c r="W16" i="25" s="1"/>
  <c r="W17" i="25" s="1"/>
  <c r="W18" i="25" s="1"/>
  <c r="W19" i="25" s="1"/>
  <c r="W20" i="25" s="1"/>
  <c r="W21" i="25" s="1"/>
  <c r="W22" i="25" s="1"/>
  <c r="W23" i="25" s="1"/>
  <c r="W24" i="25" s="1"/>
  <c r="W25" i="25" s="1"/>
  <c r="V6" i="25"/>
  <c r="V7" i="25" s="1"/>
  <c r="V8" i="25" s="1"/>
  <c r="V9" i="25" s="1"/>
  <c r="V10" i="25" s="1"/>
  <c r="V11" i="25" s="1"/>
  <c r="V12" i="25" s="1"/>
  <c r="V13" i="25" s="1"/>
  <c r="V14" i="25" s="1"/>
  <c r="V15" i="25" s="1"/>
  <c r="V16" i="25" s="1"/>
  <c r="V17" i="25" s="1"/>
  <c r="V18" i="25" s="1"/>
  <c r="V19" i="25" s="1"/>
  <c r="V20" i="25" s="1"/>
  <c r="V21" i="25" s="1"/>
  <c r="V22" i="25" s="1"/>
  <c r="V23" i="25" s="1"/>
  <c r="V24" i="25" s="1"/>
  <c r="V25" i="25" s="1"/>
  <c r="M38" i="25"/>
  <c r="K38" i="25"/>
  <c r="J38" i="25"/>
  <c r="H38" i="25"/>
  <c r="G38" i="25"/>
  <c r="E38" i="25"/>
  <c r="D38" i="25"/>
  <c r="B38" i="25"/>
  <c r="M37" i="25"/>
  <c r="K37" i="25"/>
  <c r="J37" i="25"/>
  <c r="H37" i="25"/>
  <c r="G37" i="25"/>
  <c r="E37" i="25"/>
  <c r="D37" i="25"/>
  <c r="B37" i="25"/>
  <c r="M36" i="25"/>
  <c r="K36" i="25"/>
  <c r="J36" i="25"/>
  <c r="H36" i="25"/>
  <c r="G36" i="25"/>
  <c r="E36" i="25"/>
  <c r="D36" i="25"/>
  <c r="B36" i="25"/>
  <c r="M35" i="25"/>
  <c r="K35" i="25"/>
  <c r="J35" i="25"/>
  <c r="H35" i="25"/>
  <c r="G35" i="25"/>
  <c r="E35" i="25"/>
  <c r="D35" i="25"/>
  <c r="B35" i="25"/>
  <c r="M34" i="25"/>
  <c r="K34" i="25"/>
  <c r="J34" i="25"/>
  <c r="H34" i="25"/>
  <c r="G34" i="25"/>
  <c r="E34" i="25"/>
  <c r="D34" i="25"/>
  <c r="B34" i="25"/>
  <c r="M33" i="25"/>
  <c r="J33" i="25"/>
  <c r="G33" i="25"/>
  <c r="D33" i="25"/>
  <c r="M24" i="25"/>
  <c r="K24" i="25"/>
  <c r="J24" i="25"/>
  <c r="H24" i="25"/>
  <c r="G24" i="25"/>
  <c r="E24" i="25"/>
  <c r="D24" i="25"/>
  <c r="B24" i="25"/>
  <c r="M23" i="25"/>
  <c r="K23" i="25"/>
  <c r="J23" i="25"/>
  <c r="H23" i="25"/>
  <c r="G23" i="25"/>
  <c r="E23" i="25"/>
  <c r="D23" i="25"/>
  <c r="B23" i="25"/>
  <c r="M22" i="25"/>
  <c r="K22" i="25"/>
  <c r="J22" i="25"/>
  <c r="H22" i="25"/>
  <c r="G22" i="25"/>
  <c r="E22" i="25"/>
  <c r="D22" i="25"/>
  <c r="B22" i="25"/>
  <c r="M21" i="25"/>
  <c r="K21" i="25"/>
  <c r="J21" i="25"/>
  <c r="H21" i="25"/>
  <c r="G21" i="25"/>
  <c r="E21" i="25"/>
  <c r="D21" i="25"/>
  <c r="B21" i="25"/>
  <c r="M20" i="25"/>
  <c r="K20" i="25"/>
  <c r="J20" i="25"/>
  <c r="H20" i="25"/>
  <c r="G20" i="25"/>
  <c r="E20" i="25"/>
  <c r="D20" i="25"/>
  <c r="B20" i="25"/>
  <c r="M19" i="25"/>
  <c r="J19" i="25"/>
  <c r="G19" i="25"/>
  <c r="D19" i="25"/>
  <c r="AA32" i="23"/>
  <c r="AA33" i="23" s="1"/>
  <c r="AA34" i="23" s="1"/>
  <c r="AA35" i="23" s="1"/>
  <c r="AA36" i="23" s="1"/>
  <c r="AA37" i="23" s="1"/>
  <c r="AA38" i="23" s="1"/>
  <c r="AA39" i="23" s="1"/>
  <c r="AA40" i="23" s="1"/>
  <c r="AA41" i="23" s="1"/>
  <c r="AA42" i="23" s="1"/>
  <c r="AA43" i="23" s="1"/>
  <c r="AA44" i="23" s="1"/>
  <c r="AA45" i="23" s="1"/>
  <c r="AA46" i="23" s="1"/>
  <c r="AA47" i="23" s="1"/>
  <c r="AA48" i="23" s="1"/>
  <c r="AA49" i="23" s="1"/>
  <c r="AA50" i="23" s="1"/>
  <c r="Z32" i="23"/>
  <c r="Z33" i="23" s="1"/>
  <c r="Z34" i="23" s="1"/>
  <c r="Z35" i="23" s="1"/>
  <c r="Z36" i="23" s="1"/>
  <c r="Z37" i="23" s="1"/>
  <c r="Z38" i="23" s="1"/>
  <c r="Z39" i="23" s="1"/>
  <c r="Z40" i="23" s="1"/>
  <c r="Z41" i="23" s="1"/>
  <c r="Z42" i="23" s="1"/>
  <c r="Z43" i="23" s="1"/>
  <c r="Z44" i="23" s="1"/>
  <c r="Z45" i="23" s="1"/>
  <c r="Z46" i="23" s="1"/>
  <c r="Z47" i="23" s="1"/>
  <c r="Z48" i="23" s="1"/>
  <c r="Z49" i="23" s="1"/>
  <c r="Z50" i="23" s="1"/>
  <c r="Y32" i="23"/>
  <c r="Y33" i="23" s="1"/>
  <c r="Y34" i="23" s="1"/>
  <c r="Y35" i="23" s="1"/>
  <c r="Y36" i="23" s="1"/>
  <c r="Y37" i="23" s="1"/>
  <c r="Y38" i="23" s="1"/>
  <c r="Y39" i="23" s="1"/>
  <c r="Y40" i="23" s="1"/>
  <c r="Y41" i="23" s="1"/>
  <c r="Y42" i="23" s="1"/>
  <c r="Y43" i="23" s="1"/>
  <c r="Y44" i="23" s="1"/>
  <c r="Y45" i="23" s="1"/>
  <c r="Y46" i="23" s="1"/>
  <c r="Y47" i="23" s="1"/>
  <c r="Y48" i="23" s="1"/>
  <c r="Y49" i="23" s="1"/>
  <c r="Y50" i="23" s="1"/>
  <c r="AA31" i="23"/>
  <c r="Z31" i="23"/>
  <c r="Y31" i="23"/>
  <c r="X31" i="23"/>
  <c r="X32" i="23" s="1"/>
  <c r="X33" i="23" s="1"/>
  <c r="X34" i="23" s="1"/>
  <c r="X35" i="23" s="1"/>
  <c r="X36" i="23" s="1"/>
  <c r="X37" i="23" s="1"/>
  <c r="X38" i="23" s="1"/>
  <c r="X39" i="23" s="1"/>
  <c r="X40" i="23" s="1"/>
  <c r="X41" i="23" s="1"/>
  <c r="X42" i="23" s="1"/>
  <c r="X43" i="23" s="1"/>
  <c r="X44" i="23" s="1"/>
  <c r="X45" i="23" s="1"/>
  <c r="X46" i="23" s="1"/>
  <c r="X47" i="23" s="1"/>
  <c r="X48" i="23" s="1"/>
  <c r="X49" i="23" s="1"/>
  <c r="X50" i="23" s="1"/>
  <c r="W31" i="23"/>
  <c r="W32" i="23" s="1"/>
  <c r="W33" i="23" s="1"/>
  <c r="W34" i="23" s="1"/>
  <c r="W35" i="23" s="1"/>
  <c r="W36" i="23" s="1"/>
  <c r="W37" i="23" s="1"/>
  <c r="W38" i="23" s="1"/>
  <c r="W39" i="23" s="1"/>
  <c r="W40" i="23" s="1"/>
  <c r="W41" i="23" s="1"/>
  <c r="W42" i="23" s="1"/>
  <c r="W43" i="23" s="1"/>
  <c r="W44" i="23" s="1"/>
  <c r="W45" i="23" s="1"/>
  <c r="W46" i="23" s="1"/>
  <c r="W47" i="23" s="1"/>
  <c r="W48" i="23" s="1"/>
  <c r="W49" i="23" s="1"/>
  <c r="W50" i="23" s="1"/>
  <c r="V31" i="23"/>
  <c r="V32" i="23" s="1"/>
  <c r="V33" i="23" s="1"/>
  <c r="V34" i="23" s="1"/>
  <c r="V35" i="23" s="1"/>
  <c r="V36" i="23" s="1"/>
  <c r="V37" i="23" s="1"/>
  <c r="V38" i="23" s="1"/>
  <c r="V39" i="23" s="1"/>
  <c r="V40" i="23" s="1"/>
  <c r="V41" i="23" s="1"/>
  <c r="V42" i="23" s="1"/>
  <c r="V43" i="23" s="1"/>
  <c r="V44" i="23" s="1"/>
  <c r="V45" i="23" s="1"/>
  <c r="V46" i="23" s="1"/>
  <c r="V47" i="23" s="1"/>
  <c r="V48" i="23" s="1"/>
  <c r="V49" i="23" s="1"/>
  <c r="V50" i="23" s="1"/>
  <c r="AA7" i="23"/>
  <c r="AA8" i="23" s="1"/>
  <c r="AA9" i="23" s="1"/>
  <c r="AA10" i="23" s="1"/>
  <c r="AA11" i="23" s="1"/>
  <c r="AA12" i="23" s="1"/>
  <c r="AA13" i="23" s="1"/>
  <c r="AA14" i="23" s="1"/>
  <c r="AA15" i="23" s="1"/>
  <c r="AA16" i="23" s="1"/>
  <c r="AA17" i="23" s="1"/>
  <c r="AA18" i="23" s="1"/>
  <c r="AA19" i="23" s="1"/>
  <c r="AA20" i="23" s="1"/>
  <c r="AA21" i="23" s="1"/>
  <c r="AA22" i="23" s="1"/>
  <c r="AA23" i="23" s="1"/>
  <c r="AA24" i="23" s="1"/>
  <c r="AA25" i="23" s="1"/>
  <c r="Z7" i="23"/>
  <c r="Z8" i="23" s="1"/>
  <c r="Z9" i="23" s="1"/>
  <c r="Z10" i="23" s="1"/>
  <c r="Z11" i="23" s="1"/>
  <c r="Z12" i="23" s="1"/>
  <c r="Z13" i="23" s="1"/>
  <c r="Z14" i="23" s="1"/>
  <c r="Z15" i="23" s="1"/>
  <c r="Z16" i="23" s="1"/>
  <c r="Z17" i="23" s="1"/>
  <c r="Z18" i="23" s="1"/>
  <c r="Z19" i="23" s="1"/>
  <c r="Z20" i="23" s="1"/>
  <c r="Z21" i="23" s="1"/>
  <c r="Z22" i="23" s="1"/>
  <c r="Z23" i="23" s="1"/>
  <c r="Z24" i="23" s="1"/>
  <c r="Z25" i="23" s="1"/>
  <c r="Y7" i="23"/>
  <c r="Y8" i="23" s="1"/>
  <c r="Y9" i="23" s="1"/>
  <c r="Y10" i="23" s="1"/>
  <c r="Y11" i="23" s="1"/>
  <c r="Y12" i="23" s="1"/>
  <c r="Y13" i="23" s="1"/>
  <c r="Y14" i="23" s="1"/>
  <c r="Y15" i="23" s="1"/>
  <c r="Y16" i="23" s="1"/>
  <c r="Y17" i="23" s="1"/>
  <c r="Y18" i="23" s="1"/>
  <c r="Y19" i="23" s="1"/>
  <c r="Y20" i="23" s="1"/>
  <c r="Y21" i="23" s="1"/>
  <c r="Y22" i="23" s="1"/>
  <c r="Y23" i="23" s="1"/>
  <c r="Y24" i="23" s="1"/>
  <c r="Y25" i="23" s="1"/>
  <c r="AA6" i="23"/>
  <c r="Z6" i="23"/>
  <c r="Y6" i="23"/>
  <c r="X6" i="23"/>
  <c r="X7" i="23" s="1"/>
  <c r="X8" i="23" s="1"/>
  <c r="X9" i="23" s="1"/>
  <c r="X10" i="23" s="1"/>
  <c r="X11" i="23" s="1"/>
  <c r="X12" i="23" s="1"/>
  <c r="X13" i="23" s="1"/>
  <c r="X14" i="23" s="1"/>
  <c r="X15" i="23" s="1"/>
  <c r="X16" i="23" s="1"/>
  <c r="X17" i="23" s="1"/>
  <c r="X18" i="23" s="1"/>
  <c r="X19" i="23" s="1"/>
  <c r="X20" i="23" s="1"/>
  <c r="X21" i="23" s="1"/>
  <c r="X22" i="23" s="1"/>
  <c r="X23" i="23" s="1"/>
  <c r="X24" i="23" s="1"/>
  <c r="X25" i="23" s="1"/>
  <c r="W6" i="23"/>
  <c r="W7" i="23" s="1"/>
  <c r="W8" i="23" s="1"/>
  <c r="W9" i="23" s="1"/>
  <c r="W10" i="23" s="1"/>
  <c r="W11" i="23" s="1"/>
  <c r="W12" i="23" s="1"/>
  <c r="W13" i="23" s="1"/>
  <c r="W14" i="23" s="1"/>
  <c r="W15" i="23" s="1"/>
  <c r="W16" i="23" s="1"/>
  <c r="W17" i="23" s="1"/>
  <c r="W18" i="23" s="1"/>
  <c r="W19" i="23" s="1"/>
  <c r="W20" i="23" s="1"/>
  <c r="W21" i="23" s="1"/>
  <c r="W22" i="23" s="1"/>
  <c r="W23" i="23" s="1"/>
  <c r="W24" i="23" s="1"/>
  <c r="W25" i="23" s="1"/>
  <c r="V6" i="23"/>
  <c r="V7" i="23" s="1"/>
  <c r="V8" i="23" s="1"/>
  <c r="V9" i="23" s="1"/>
  <c r="V10" i="23" s="1"/>
  <c r="V11" i="23" s="1"/>
  <c r="V12" i="23" s="1"/>
  <c r="V13" i="23" s="1"/>
  <c r="V14" i="23" s="1"/>
  <c r="V15" i="23" s="1"/>
  <c r="V16" i="23" s="1"/>
  <c r="V17" i="23" s="1"/>
  <c r="V18" i="23" s="1"/>
  <c r="V19" i="23" s="1"/>
  <c r="V20" i="23" s="1"/>
  <c r="V21" i="23" s="1"/>
  <c r="V22" i="23" s="1"/>
  <c r="V23" i="23" s="1"/>
  <c r="V24" i="23" s="1"/>
  <c r="V25" i="23" s="1"/>
  <c r="S37" i="23"/>
  <c r="Q37" i="23"/>
  <c r="P37" i="23"/>
  <c r="N37" i="23"/>
  <c r="M37" i="23"/>
  <c r="K37" i="23"/>
  <c r="J37" i="23"/>
  <c r="H37" i="23"/>
  <c r="G37" i="23"/>
  <c r="E37" i="23"/>
  <c r="D37" i="23"/>
  <c r="B37" i="23"/>
  <c r="S36" i="23"/>
  <c r="Q36" i="23"/>
  <c r="P36" i="23"/>
  <c r="N36" i="23"/>
  <c r="M36" i="23"/>
  <c r="K36" i="23"/>
  <c r="J36" i="23"/>
  <c r="H36" i="23"/>
  <c r="G36" i="23"/>
  <c r="E36" i="23"/>
  <c r="D36" i="23"/>
  <c r="B36" i="23"/>
  <c r="S35" i="23"/>
  <c r="Q35" i="23"/>
  <c r="P35" i="23"/>
  <c r="N35" i="23"/>
  <c r="M35" i="23"/>
  <c r="K35" i="23"/>
  <c r="J35" i="23"/>
  <c r="H35" i="23"/>
  <c r="G35" i="23"/>
  <c r="E35" i="23"/>
  <c r="D35" i="23"/>
  <c r="B35" i="23"/>
  <c r="S34" i="23"/>
  <c r="Q34" i="23"/>
  <c r="P34" i="23"/>
  <c r="N34" i="23"/>
  <c r="M34" i="23"/>
  <c r="K34" i="23"/>
  <c r="J34" i="23"/>
  <c r="H34" i="23"/>
  <c r="G34" i="23"/>
  <c r="E34" i="23"/>
  <c r="D34" i="23"/>
  <c r="B34" i="23"/>
  <c r="S33" i="23"/>
  <c r="Q33" i="23"/>
  <c r="P33" i="23"/>
  <c r="N33" i="23"/>
  <c r="M33" i="23"/>
  <c r="K33" i="23"/>
  <c r="J33" i="23"/>
  <c r="H33" i="23"/>
  <c r="G33" i="23"/>
  <c r="E33" i="23"/>
  <c r="D33" i="23"/>
  <c r="B33" i="23"/>
  <c r="S32" i="23"/>
  <c r="P32" i="23"/>
  <c r="M32" i="23"/>
  <c r="J32" i="23"/>
  <c r="G32" i="23"/>
  <c r="D32" i="23"/>
  <c r="S23" i="23"/>
  <c r="Q23" i="23"/>
  <c r="P23" i="23"/>
  <c r="N23" i="23"/>
  <c r="M23" i="23"/>
  <c r="K23" i="23"/>
  <c r="J23" i="23"/>
  <c r="H23" i="23"/>
  <c r="G23" i="23"/>
  <c r="E23" i="23"/>
  <c r="D23" i="23"/>
  <c r="B23" i="23"/>
  <c r="S22" i="23"/>
  <c r="Q22" i="23"/>
  <c r="P22" i="23"/>
  <c r="N22" i="23"/>
  <c r="M22" i="23"/>
  <c r="K22" i="23"/>
  <c r="J22" i="23"/>
  <c r="H22" i="23"/>
  <c r="G22" i="23"/>
  <c r="E22" i="23"/>
  <c r="D22" i="23"/>
  <c r="B22" i="23"/>
  <c r="S21" i="23"/>
  <c r="Q21" i="23"/>
  <c r="P21" i="23"/>
  <c r="N21" i="23"/>
  <c r="M21" i="23"/>
  <c r="K21" i="23"/>
  <c r="J21" i="23"/>
  <c r="H21" i="23"/>
  <c r="G21" i="23"/>
  <c r="E21" i="23"/>
  <c r="D21" i="23"/>
  <c r="B21" i="23"/>
  <c r="S20" i="23"/>
  <c r="Q20" i="23"/>
  <c r="P20" i="23"/>
  <c r="N20" i="23"/>
  <c r="M20" i="23"/>
  <c r="K20" i="23"/>
  <c r="J20" i="23"/>
  <c r="H20" i="23"/>
  <c r="G20" i="23"/>
  <c r="E20" i="23"/>
  <c r="D20" i="23"/>
  <c r="B20" i="23"/>
  <c r="S19" i="23"/>
  <c r="Q19" i="23"/>
  <c r="P19" i="23"/>
  <c r="N19" i="23"/>
  <c r="M19" i="23"/>
  <c r="K19" i="23"/>
  <c r="J19" i="23"/>
  <c r="H19" i="23"/>
  <c r="G19" i="23"/>
  <c r="E19" i="23"/>
  <c r="D19" i="23"/>
  <c r="B19" i="23"/>
  <c r="S18" i="23"/>
  <c r="P18" i="23"/>
  <c r="M18" i="23"/>
  <c r="J18" i="23"/>
  <c r="G18" i="23"/>
  <c r="D18" i="23"/>
  <c r="AA32" i="22"/>
  <c r="AA33" i="22" s="1"/>
  <c r="AA34" i="22" s="1"/>
  <c r="AA35" i="22" s="1"/>
  <c r="AA36" i="22" s="1"/>
  <c r="AA37" i="22" s="1"/>
  <c r="AA38" i="22" s="1"/>
  <c r="AA39" i="22" s="1"/>
  <c r="AA40" i="22" s="1"/>
  <c r="AA41" i="22" s="1"/>
  <c r="AA42" i="22" s="1"/>
  <c r="AA43" i="22" s="1"/>
  <c r="AA44" i="22" s="1"/>
  <c r="AA45" i="22" s="1"/>
  <c r="AA46" i="22" s="1"/>
  <c r="AA47" i="22" s="1"/>
  <c r="AA48" i="22" s="1"/>
  <c r="AA49" i="22" s="1"/>
  <c r="AA50" i="22" s="1"/>
  <c r="Z32" i="22"/>
  <c r="Z33" i="22" s="1"/>
  <c r="Z34" i="22" s="1"/>
  <c r="Z35" i="22" s="1"/>
  <c r="Z36" i="22" s="1"/>
  <c r="Z37" i="22" s="1"/>
  <c r="Z38" i="22" s="1"/>
  <c r="Z39" i="22" s="1"/>
  <c r="Z40" i="22" s="1"/>
  <c r="Z41" i="22" s="1"/>
  <c r="Z42" i="22" s="1"/>
  <c r="Z43" i="22" s="1"/>
  <c r="Z44" i="22" s="1"/>
  <c r="Z45" i="22" s="1"/>
  <c r="Z46" i="22" s="1"/>
  <c r="Z47" i="22" s="1"/>
  <c r="Z48" i="22" s="1"/>
  <c r="Z49" i="22" s="1"/>
  <c r="Z50" i="22" s="1"/>
  <c r="Y32" i="22"/>
  <c r="Y33" i="22" s="1"/>
  <c r="Y34" i="22" s="1"/>
  <c r="Y35" i="22" s="1"/>
  <c r="Y36" i="22" s="1"/>
  <c r="Y37" i="22" s="1"/>
  <c r="Y38" i="22" s="1"/>
  <c r="Y39" i="22" s="1"/>
  <c r="Y40" i="22" s="1"/>
  <c r="Y41" i="22" s="1"/>
  <c r="Y42" i="22" s="1"/>
  <c r="Y43" i="22" s="1"/>
  <c r="Y44" i="22" s="1"/>
  <c r="Y45" i="22" s="1"/>
  <c r="Y46" i="22" s="1"/>
  <c r="Y47" i="22" s="1"/>
  <c r="Y48" i="22" s="1"/>
  <c r="Y49" i="22" s="1"/>
  <c r="Y50" i="22" s="1"/>
  <c r="X32" i="22"/>
  <c r="X33" i="22" s="1"/>
  <c r="X34" i="22" s="1"/>
  <c r="X35" i="22" s="1"/>
  <c r="X36" i="22" s="1"/>
  <c r="X37" i="22" s="1"/>
  <c r="X38" i="22" s="1"/>
  <c r="X39" i="22" s="1"/>
  <c r="X40" i="22" s="1"/>
  <c r="X41" i="22" s="1"/>
  <c r="X42" i="22" s="1"/>
  <c r="X43" i="22" s="1"/>
  <c r="X44" i="22" s="1"/>
  <c r="X45" i="22" s="1"/>
  <c r="X46" i="22" s="1"/>
  <c r="X47" i="22" s="1"/>
  <c r="X48" i="22" s="1"/>
  <c r="X49" i="22" s="1"/>
  <c r="X50" i="22" s="1"/>
  <c r="AA31" i="22"/>
  <c r="Z31" i="22"/>
  <c r="Y31" i="22"/>
  <c r="X31" i="22"/>
  <c r="W31" i="22"/>
  <c r="W32" i="22" s="1"/>
  <c r="W33" i="22" s="1"/>
  <c r="W34" i="22" s="1"/>
  <c r="W35" i="22" s="1"/>
  <c r="W36" i="22" s="1"/>
  <c r="W37" i="22" s="1"/>
  <c r="W38" i="22" s="1"/>
  <c r="W39" i="22" s="1"/>
  <c r="W40" i="22" s="1"/>
  <c r="W41" i="22" s="1"/>
  <c r="W42" i="22" s="1"/>
  <c r="W43" i="22" s="1"/>
  <c r="W44" i="22" s="1"/>
  <c r="W45" i="22" s="1"/>
  <c r="W46" i="22" s="1"/>
  <c r="W47" i="22" s="1"/>
  <c r="W48" i="22" s="1"/>
  <c r="W49" i="22" s="1"/>
  <c r="W50" i="22" s="1"/>
  <c r="V31" i="22"/>
  <c r="V32" i="22" s="1"/>
  <c r="V33" i="22" s="1"/>
  <c r="V34" i="22" s="1"/>
  <c r="V35" i="22" s="1"/>
  <c r="V36" i="22" s="1"/>
  <c r="V37" i="22" s="1"/>
  <c r="V38" i="22" s="1"/>
  <c r="V39" i="22" s="1"/>
  <c r="V40" i="22" s="1"/>
  <c r="V41" i="22" s="1"/>
  <c r="V42" i="22" s="1"/>
  <c r="V43" i="22" s="1"/>
  <c r="V44" i="22" s="1"/>
  <c r="V45" i="22" s="1"/>
  <c r="V46" i="22" s="1"/>
  <c r="V47" i="22" s="1"/>
  <c r="V48" i="22" s="1"/>
  <c r="V49" i="22" s="1"/>
  <c r="V50" i="22" s="1"/>
  <c r="AA7" i="22"/>
  <c r="AA8" i="22" s="1"/>
  <c r="AA9" i="22" s="1"/>
  <c r="AA10" i="22" s="1"/>
  <c r="AA11" i="22" s="1"/>
  <c r="AA12" i="22" s="1"/>
  <c r="AA13" i="22" s="1"/>
  <c r="AA14" i="22" s="1"/>
  <c r="AA15" i="22" s="1"/>
  <c r="AA16" i="22" s="1"/>
  <c r="AA17" i="22" s="1"/>
  <c r="AA18" i="22" s="1"/>
  <c r="AA19" i="22" s="1"/>
  <c r="AA20" i="22" s="1"/>
  <c r="AA21" i="22" s="1"/>
  <c r="AA22" i="22" s="1"/>
  <c r="AA23" i="22" s="1"/>
  <c r="AA24" i="22" s="1"/>
  <c r="AA25" i="22" s="1"/>
  <c r="Z7" i="22"/>
  <c r="Z8" i="22" s="1"/>
  <c r="Z9" i="22" s="1"/>
  <c r="Z10" i="22" s="1"/>
  <c r="Z11" i="22" s="1"/>
  <c r="Z12" i="22" s="1"/>
  <c r="Z13" i="22" s="1"/>
  <c r="Z14" i="22" s="1"/>
  <c r="Z15" i="22" s="1"/>
  <c r="Z16" i="22" s="1"/>
  <c r="Z17" i="22" s="1"/>
  <c r="Z18" i="22" s="1"/>
  <c r="Z19" i="22" s="1"/>
  <c r="Z20" i="22" s="1"/>
  <c r="Z21" i="22" s="1"/>
  <c r="Z22" i="22" s="1"/>
  <c r="Z23" i="22" s="1"/>
  <c r="Z24" i="22" s="1"/>
  <c r="Z25" i="22" s="1"/>
  <c r="Y7" i="22"/>
  <c r="Y8" i="22" s="1"/>
  <c r="Y9" i="22" s="1"/>
  <c r="Y10" i="22" s="1"/>
  <c r="Y11" i="22" s="1"/>
  <c r="Y12" i="22" s="1"/>
  <c r="Y13" i="22" s="1"/>
  <c r="Y14" i="22" s="1"/>
  <c r="Y15" i="22" s="1"/>
  <c r="Y16" i="22" s="1"/>
  <c r="Y17" i="22" s="1"/>
  <c r="Y18" i="22" s="1"/>
  <c r="Y19" i="22" s="1"/>
  <c r="Y20" i="22" s="1"/>
  <c r="Y21" i="22" s="1"/>
  <c r="Y22" i="22" s="1"/>
  <c r="Y23" i="22" s="1"/>
  <c r="Y24" i="22" s="1"/>
  <c r="Y25" i="22" s="1"/>
  <c r="X7" i="22"/>
  <c r="X8" i="22" s="1"/>
  <c r="X9" i="22" s="1"/>
  <c r="X10" i="22" s="1"/>
  <c r="X11" i="22" s="1"/>
  <c r="X12" i="22" s="1"/>
  <c r="X13" i="22" s="1"/>
  <c r="X14" i="22" s="1"/>
  <c r="X15" i="22" s="1"/>
  <c r="X16" i="22" s="1"/>
  <c r="X17" i="22" s="1"/>
  <c r="X18" i="22" s="1"/>
  <c r="X19" i="22" s="1"/>
  <c r="X20" i="22" s="1"/>
  <c r="X21" i="22" s="1"/>
  <c r="X22" i="22" s="1"/>
  <c r="X23" i="22" s="1"/>
  <c r="X24" i="22" s="1"/>
  <c r="X25" i="22" s="1"/>
  <c r="AA6" i="22"/>
  <c r="Z6" i="22"/>
  <c r="Y6" i="22"/>
  <c r="X6" i="22"/>
  <c r="W6" i="22"/>
  <c r="W7" i="22" s="1"/>
  <c r="W8" i="22" s="1"/>
  <c r="W9" i="22" s="1"/>
  <c r="W10" i="22" s="1"/>
  <c r="W11" i="22" s="1"/>
  <c r="W12" i="22" s="1"/>
  <c r="W13" i="22" s="1"/>
  <c r="W14" i="22" s="1"/>
  <c r="W15" i="22" s="1"/>
  <c r="W16" i="22" s="1"/>
  <c r="W17" i="22" s="1"/>
  <c r="W18" i="22" s="1"/>
  <c r="W19" i="22" s="1"/>
  <c r="W20" i="22" s="1"/>
  <c r="W21" i="22" s="1"/>
  <c r="W22" i="22" s="1"/>
  <c r="W23" i="22" s="1"/>
  <c r="W24" i="22" s="1"/>
  <c r="W25" i="22" s="1"/>
  <c r="V6" i="22"/>
  <c r="V7" i="22" s="1"/>
  <c r="V8" i="22" s="1"/>
  <c r="V9" i="22" s="1"/>
  <c r="V10" i="22" s="1"/>
  <c r="V11" i="22" s="1"/>
  <c r="V12" i="22" s="1"/>
  <c r="V13" i="22" s="1"/>
  <c r="V14" i="22" s="1"/>
  <c r="V15" i="22" s="1"/>
  <c r="V16" i="22" s="1"/>
  <c r="V17" i="22" s="1"/>
  <c r="V18" i="22" s="1"/>
  <c r="V19" i="22" s="1"/>
  <c r="V20" i="22" s="1"/>
  <c r="V21" i="22" s="1"/>
  <c r="V22" i="22" s="1"/>
  <c r="V23" i="22" s="1"/>
  <c r="V24" i="22" s="1"/>
  <c r="V25" i="22" s="1"/>
  <c r="S37" i="22"/>
  <c r="Q37" i="22"/>
  <c r="P37" i="22"/>
  <c r="N37" i="22"/>
  <c r="M37" i="22"/>
  <c r="K37" i="22"/>
  <c r="J37" i="22"/>
  <c r="H37" i="22"/>
  <c r="G37" i="22"/>
  <c r="E37" i="22"/>
  <c r="D37" i="22"/>
  <c r="B37" i="22"/>
  <c r="S36" i="22"/>
  <c r="Q36" i="22"/>
  <c r="P36" i="22"/>
  <c r="N36" i="22"/>
  <c r="M36" i="22"/>
  <c r="K36" i="22"/>
  <c r="J36" i="22"/>
  <c r="H36" i="22"/>
  <c r="G36" i="22"/>
  <c r="E36" i="22"/>
  <c r="D36" i="22"/>
  <c r="B36" i="22"/>
  <c r="S35" i="22"/>
  <c r="Q35" i="22"/>
  <c r="P35" i="22"/>
  <c r="N35" i="22"/>
  <c r="M35" i="22"/>
  <c r="K35" i="22"/>
  <c r="J35" i="22"/>
  <c r="H35" i="22"/>
  <c r="G35" i="22"/>
  <c r="E35" i="22"/>
  <c r="D35" i="22"/>
  <c r="B35" i="22"/>
  <c r="S34" i="22"/>
  <c r="Q34" i="22"/>
  <c r="P34" i="22"/>
  <c r="N34" i="22"/>
  <c r="M34" i="22"/>
  <c r="K34" i="22"/>
  <c r="J34" i="22"/>
  <c r="H34" i="22"/>
  <c r="G34" i="22"/>
  <c r="E34" i="22"/>
  <c r="D34" i="22"/>
  <c r="B34" i="22"/>
  <c r="S33" i="22"/>
  <c r="Q33" i="22"/>
  <c r="P33" i="22"/>
  <c r="N33" i="22"/>
  <c r="M33" i="22"/>
  <c r="K33" i="22"/>
  <c r="J33" i="22"/>
  <c r="H33" i="22"/>
  <c r="G33" i="22"/>
  <c r="E33" i="22"/>
  <c r="D33" i="22"/>
  <c r="B33" i="22"/>
  <c r="S32" i="22"/>
  <c r="P32" i="22"/>
  <c r="M32" i="22"/>
  <c r="J32" i="22"/>
  <c r="G32" i="22"/>
  <c r="D32" i="22"/>
  <c r="S23" i="22"/>
  <c r="Q23" i="22"/>
  <c r="P23" i="22"/>
  <c r="N23" i="22"/>
  <c r="M23" i="22"/>
  <c r="K23" i="22"/>
  <c r="J23" i="22"/>
  <c r="H23" i="22"/>
  <c r="G23" i="22"/>
  <c r="E23" i="22"/>
  <c r="D23" i="22"/>
  <c r="B23" i="22"/>
  <c r="S22" i="22"/>
  <c r="Q22" i="22"/>
  <c r="P22" i="22"/>
  <c r="N22" i="22"/>
  <c r="M22" i="22"/>
  <c r="K22" i="22"/>
  <c r="J22" i="22"/>
  <c r="H22" i="22"/>
  <c r="G22" i="22"/>
  <c r="E22" i="22"/>
  <c r="D22" i="22"/>
  <c r="B22" i="22"/>
  <c r="S21" i="22"/>
  <c r="Q21" i="22"/>
  <c r="P21" i="22"/>
  <c r="N21" i="22"/>
  <c r="M21" i="22"/>
  <c r="K21" i="22"/>
  <c r="J21" i="22"/>
  <c r="H21" i="22"/>
  <c r="G21" i="22"/>
  <c r="E21" i="22"/>
  <c r="D21" i="22"/>
  <c r="B21" i="22"/>
  <c r="S20" i="22"/>
  <c r="Q20" i="22"/>
  <c r="P20" i="22"/>
  <c r="N20" i="22"/>
  <c r="M20" i="22"/>
  <c r="K20" i="22"/>
  <c r="J20" i="22"/>
  <c r="H20" i="22"/>
  <c r="G20" i="22"/>
  <c r="E20" i="22"/>
  <c r="D20" i="22"/>
  <c r="B20" i="22"/>
  <c r="S19" i="22"/>
  <c r="Q19" i="22"/>
  <c r="P19" i="22"/>
  <c r="N19" i="22"/>
  <c r="M19" i="22"/>
  <c r="K19" i="22"/>
  <c r="J19" i="22"/>
  <c r="H19" i="22"/>
  <c r="G19" i="22"/>
  <c r="E19" i="22"/>
  <c r="D19" i="22"/>
  <c r="B19" i="22"/>
  <c r="S18" i="22"/>
  <c r="P18" i="22"/>
  <c r="M18" i="22"/>
  <c r="J18" i="22"/>
  <c r="G18" i="22"/>
  <c r="D18" i="22"/>
  <c r="Y34" i="15"/>
  <c r="Y35" i="15" s="1"/>
  <c r="Y36" i="15" s="1"/>
  <c r="Y37" i="15" s="1"/>
  <c r="Y38" i="15" s="1"/>
  <c r="Y39" i="15" s="1"/>
  <c r="Y40" i="15" s="1"/>
  <c r="Y41" i="15" s="1"/>
  <c r="Y42" i="15" s="1"/>
  <c r="Y43" i="15" s="1"/>
  <c r="Y44" i="15" s="1"/>
  <c r="Y45" i="15" s="1"/>
  <c r="Y46" i="15" s="1"/>
  <c r="Y47" i="15" s="1"/>
  <c r="Y48" i="15" s="1"/>
  <c r="Y49" i="15" s="1"/>
  <c r="Y50" i="15" s="1"/>
  <c r="X33" i="15"/>
  <c r="X34" i="15" s="1"/>
  <c r="X35" i="15" s="1"/>
  <c r="X36" i="15" s="1"/>
  <c r="X37" i="15" s="1"/>
  <c r="X38" i="15" s="1"/>
  <c r="X39" i="15" s="1"/>
  <c r="X40" i="15" s="1"/>
  <c r="X41" i="15" s="1"/>
  <c r="X42" i="15" s="1"/>
  <c r="X43" i="15" s="1"/>
  <c r="X44" i="15" s="1"/>
  <c r="X45" i="15" s="1"/>
  <c r="X46" i="15" s="1"/>
  <c r="X47" i="15" s="1"/>
  <c r="X48" i="15" s="1"/>
  <c r="X49" i="15" s="1"/>
  <c r="X50" i="15" s="1"/>
  <c r="AA32" i="15"/>
  <c r="AA33" i="15" s="1"/>
  <c r="AA34" i="15" s="1"/>
  <c r="AA35" i="15" s="1"/>
  <c r="AA36" i="15" s="1"/>
  <c r="AA37" i="15" s="1"/>
  <c r="AA38" i="15" s="1"/>
  <c r="AA39" i="15" s="1"/>
  <c r="AA40" i="15" s="1"/>
  <c r="AA41" i="15" s="1"/>
  <c r="AA42" i="15" s="1"/>
  <c r="AA43" i="15" s="1"/>
  <c r="AA44" i="15" s="1"/>
  <c r="AA45" i="15" s="1"/>
  <c r="AA46" i="15" s="1"/>
  <c r="AA47" i="15" s="1"/>
  <c r="AA48" i="15" s="1"/>
  <c r="AA49" i="15" s="1"/>
  <c r="AA50" i="15" s="1"/>
  <c r="Z32" i="15"/>
  <c r="Z33" i="15" s="1"/>
  <c r="Z34" i="15" s="1"/>
  <c r="Z35" i="15" s="1"/>
  <c r="Z36" i="15" s="1"/>
  <c r="Z37" i="15" s="1"/>
  <c r="Z38" i="15" s="1"/>
  <c r="Z39" i="15" s="1"/>
  <c r="Z40" i="15" s="1"/>
  <c r="Z41" i="15" s="1"/>
  <c r="Z42" i="15" s="1"/>
  <c r="Z43" i="15" s="1"/>
  <c r="Z44" i="15" s="1"/>
  <c r="Z45" i="15" s="1"/>
  <c r="Z46" i="15" s="1"/>
  <c r="Z47" i="15" s="1"/>
  <c r="Z48" i="15" s="1"/>
  <c r="Z49" i="15" s="1"/>
  <c r="Z50" i="15" s="1"/>
  <c r="Y32" i="15"/>
  <c r="Y33" i="15" s="1"/>
  <c r="X32" i="15"/>
  <c r="AA31" i="15"/>
  <c r="Z31" i="15"/>
  <c r="Y31" i="15"/>
  <c r="X31" i="15"/>
  <c r="W31" i="15"/>
  <c r="W32" i="15" s="1"/>
  <c r="W33" i="15" s="1"/>
  <c r="W34" i="15" s="1"/>
  <c r="W35" i="15" s="1"/>
  <c r="W36" i="15" s="1"/>
  <c r="W37" i="15" s="1"/>
  <c r="W38" i="15" s="1"/>
  <c r="W39" i="15" s="1"/>
  <c r="W40" i="15" s="1"/>
  <c r="W41" i="15" s="1"/>
  <c r="W42" i="15" s="1"/>
  <c r="W43" i="15" s="1"/>
  <c r="W44" i="15" s="1"/>
  <c r="W45" i="15" s="1"/>
  <c r="W46" i="15" s="1"/>
  <c r="W47" i="15" s="1"/>
  <c r="W48" i="15" s="1"/>
  <c r="W49" i="15" s="1"/>
  <c r="W50" i="15" s="1"/>
  <c r="V31" i="15"/>
  <c r="V32" i="15" s="1"/>
  <c r="V33" i="15" s="1"/>
  <c r="V34" i="15" s="1"/>
  <c r="V35" i="15" s="1"/>
  <c r="V36" i="15" s="1"/>
  <c r="V37" i="15" s="1"/>
  <c r="V38" i="15" s="1"/>
  <c r="V39" i="15" s="1"/>
  <c r="V40" i="15" s="1"/>
  <c r="V41" i="15" s="1"/>
  <c r="V42" i="15" s="1"/>
  <c r="V43" i="15" s="1"/>
  <c r="V44" i="15" s="1"/>
  <c r="V45" i="15" s="1"/>
  <c r="V46" i="15" s="1"/>
  <c r="V47" i="15" s="1"/>
  <c r="V48" i="15" s="1"/>
  <c r="V49" i="15" s="1"/>
  <c r="V50" i="15" s="1"/>
  <c r="AA7" i="15"/>
  <c r="AA8" i="15" s="1"/>
  <c r="AA9" i="15" s="1"/>
  <c r="AA10" i="15" s="1"/>
  <c r="AA11" i="15" s="1"/>
  <c r="AA12" i="15" s="1"/>
  <c r="AA13" i="15" s="1"/>
  <c r="AA14" i="15" s="1"/>
  <c r="AA15" i="15" s="1"/>
  <c r="AA16" i="15" s="1"/>
  <c r="AA17" i="15" s="1"/>
  <c r="AA18" i="15" s="1"/>
  <c r="AA19" i="15" s="1"/>
  <c r="AA20" i="15" s="1"/>
  <c r="AA21" i="15" s="1"/>
  <c r="AA22" i="15" s="1"/>
  <c r="AA23" i="15" s="1"/>
  <c r="AA24" i="15" s="1"/>
  <c r="AA25" i="15" s="1"/>
  <c r="Z7" i="15"/>
  <c r="Z8" i="15" s="1"/>
  <c r="Z9" i="15" s="1"/>
  <c r="Z10" i="15" s="1"/>
  <c r="Z11" i="15" s="1"/>
  <c r="Z12" i="15" s="1"/>
  <c r="Z13" i="15" s="1"/>
  <c r="Z14" i="15" s="1"/>
  <c r="Z15" i="15" s="1"/>
  <c r="Z16" i="15" s="1"/>
  <c r="Z17" i="15" s="1"/>
  <c r="Z18" i="15" s="1"/>
  <c r="Z19" i="15" s="1"/>
  <c r="Z20" i="15" s="1"/>
  <c r="Z21" i="15" s="1"/>
  <c r="Z22" i="15" s="1"/>
  <c r="Z23" i="15" s="1"/>
  <c r="Z24" i="15" s="1"/>
  <c r="Z25" i="15" s="1"/>
  <c r="AA6" i="15"/>
  <c r="Z6" i="15"/>
  <c r="Y6" i="15"/>
  <c r="Y7" i="15" s="1"/>
  <c r="Y8" i="15" s="1"/>
  <c r="Y9" i="15" s="1"/>
  <c r="Y10" i="15" s="1"/>
  <c r="Y11" i="15" s="1"/>
  <c r="Y12" i="15" s="1"/>
  <c r="Y13" i="15" s="1"/>
  <c r="Y14" i="15" s="1"/>
  <c r="Y15" i="15" s="1"/>
  <c r="Y16" i="15" s="1"/>
  <c r="Y17" i="15" s="1"/>
  <c r="Y18" i="15" s="1"/>
  <c r="Y19" i="15" s="1"/>
  <c r="Y20" i="15" s="1"/>
  <c r="Y21" i="15" s="1"/>
  <c r="Y22" i="15" s="1"/>
  <c r="Y23" i="15" s="1"/>
  <c r="Y24" i="15" s="1"/>
  <c r="Y25" i="15" s="1"/>
  <c r="X6" i="15"/>
  <c r="X7" i="15" s="1"/>
  <c r="X8" i="15" s="1"/>
  <c r="X9" i="15" s="1"/>
  <c r="X10" i="15" s="1"/>
  <c r="X11" i="15" s="1"/>
  <c r="X12" i="15" s="1"/>
  <c r="X13" i="15" s="1"/>
  <c r="X14" i="15" s="1"/>
  <c r="X15" i="15" s="1"/>
  <c r="X16" i="15" s="1"/>
  <c r="X17" i="15" s="1"/>
  <c r="X18" i="15" s="1"/>
  <c r="X19" i="15" s="1"/>
  <c r="X20" i="15" s="1"/>
  <c r="X21" i="15" s="1"/>
  <c r="X22" i="15" s="1"/>
  <c r="X23" i="15" s="1"/>
  <c r="X24" i="15" s="1"/>
  <c r="X25" i="15" s="1"/>
  <c r="W6" i="15"/>
  <c r="W7" i="15" s="1"/>
  <c r="W8" i="15" s="1"/>
  <c r="W9" i="15" s="1"/>
  <c r="W10" i="15" s="1"/>
  <c r="W11" i="15" s="1"/>
  <c r="W12" i="15" s="1"/>
  <c r="W13" i="15" s="1"/>
  <c r="W14" i="15" s="1"/>
  <c r="W15" i="15" s="1"/>
  <c r="W16" i="15" s="1"/>
  <c r="W17" i="15" s="1"/>
  <c r="W18" i="15" s="1"/>
  <c r="W19" i="15" s="1"/>
  <c r="W20" i="15" s="1"/>
  <c r="W21" i="15" s="1"/>
  <c r="W22" i="15" s="1"/>
  <c r="W23" i="15" s="1"/>
  <c r="W24" i="15" s="1"/>
  <c r="W25" i="15" s="1"/>
  <c r="V6" i="15"/>
  <c r="V7" i="15" s="1"/>
  <c r="V8" i="15" s="1"/>
  <c r="V9" i="15" s="1"/>
  <c r="V10" i="15" s="1"/>
  <c r="V11" i="15" s="1"/>
  <c r="V12" i="15" s="1"/>
  <c r="V13" i="15" s="1"/>
  <c r="V14" i="15" s="1"/>
  <c r="V15" i="15" s="1"/>
  <c r="V16" i="15" s="1"/>
  <c r="V17" i="15" s="1"/>
  <c r="V18" i="15" s="1"/>
  <c r="V19" i="15" s="1"/>
  <c r="V20" i="15" s="1"/>
  <c r="V21" i="15" s="1"/>
  <c r="V22" i="15" s="1"/>
  <c r="V23" i="15" s="1"/>
  <c r="V24" i="15" s="1"/>
  <c r="V25" i="15" s="1"/>
  <c r="S37" i="15"/>
  <c r="Q37" i="15"/>
  <c r="P37" i="15"/>
  <c r="N37" i="15"/>
  <c r="M37" i="15"/>
  <c r="K37" i="15"/>
  <c r="J37" i="15"/>
  <c r="H37" i="15"/>
  <c r="G37" i="15"/>
  <c r="E37" i="15"/>
  <c r="D37" i="15"/>
  <c r="B37" i="15"/>
  <c r="S36" i="15"/>
  <c r="Q36" i="15"/>
  <c r="P36" i="15"/>
  <c r="N36" i="15"/>
  <c r="M36" i="15"/>
  <c r="K36" i="15"/>
  <c r="J36" i="15"/>
  <c r="H36" i="15"/>
  <c r="G36" i="15"/>
  <c r="E36" i="15"/>
  <c r="D36" i="15"/>
  <c r="B36" i="15"/>
  <c r="S35" i="15"/>
  <c r="Q35" i="15"/>
  <c r="P35" i="15"/>
  <c r="N35" i="15"/>
  <c r="M35" i="15"/>
  <c r="K35" i="15"/>
  <c r="J35" i="15"/>
  <c r="H35" i="15"/>
  <c r="G35" i="15"/>
  <c r="E35" i="15"/>
  <c r="D35" i="15"/>
  <c r="B35" i="15"/>
  <c r="S34" i="15"/>
  <c r="Q34" i="15"/>
  <c r="P34" i="15"/>
  <c r="N34" i="15"/>
  <c r="M34" i="15"/>
  <c r="K34" i="15"/>
  <c r="J34" i="15"/>
  <c r="H34" i="15"/>
  <c r="G34" i="15"/>
  <c r="E34" i="15"/>
  <c r="D34" i="15"/>
  <c r="B34" i="15"/>
  <c r="S33" i="15"/>
  <c r="Q33" i="15"/>
  <c r="P33" i="15"/>
  <c r="N33" i="15"/>
  <c r="M33" i="15"/>
  <c r="K33" i="15"/>
  <c r="J33" i="15"/>
  <c r="H33" i="15"/>
  <c r="G33" i="15"/>
  <c r="E33" i="15"/>
  <c r="D33" i="15"/>
  <c r="B33" i="15"/>
  <c r="S32" i="15"/>
  <c r="P32" i="15"/>
  <c r="M32" i="15"/>
  <c r="J32" i="15"/>
  <c r="G32" i="15"/>
  <c r="D32" i="15"/>
  <c r="S23" i="15"/>
  <c r="Q23" i="15"/>
  <c r="P23" i="15"/>
  <c r="N23" i="15"/>
  <c r="M23" i="15"/>
  <c r="K23" i="15"/>
  <c r="J23" i="15"/>
  <c r="H23" i="15"/>
  <c r="G23" i="15"/>
  <c r="E23" i="15"/>
  <c r="D23" i="15"/>
  <c r="B23" i="15"/>
  <c r="S22" i="15"/>
  <c r="Q22" i="15"/>
  <c r="P22" i="15"/>
  <c r="N22" i="15"/>
  <c r="M22" i="15"/>
  <c r="K22" i="15"/>
  <c r="J22" i="15"/>
  <c r="H22" i="15"/>
  <c r="G22" i="15"/>
  <c r="E22" i="15"/>
  <c r="D22" i="15"/>
  <c r="B22" i="15"/>
  <c r="S21" i="15"/>
  <c r="Q21" i="15"/>
  <c r="P21" i="15"/>
  <c r="N21" i="15"/>
  <c r="M21" i="15"/>
  <c r="K21" i="15"/>
  <c r="J21" i="15"/>
  <c r="H21" i="15"/>
  <c r="G21" i="15"/>
  <c r="E21" i="15"/>
  <c r="D21" i="15"/>
  <c r="B21" i="15"/>
  <c r="S20" i="15"/>
  <c r="Q20" i="15"/>
  <c r="P20" i="15"/>
  <c r="N20" i="15"/>
  <c r="M20" i="15"/>
  <c r="K20" i="15"/>
  <c r="J20" i="15"/>
  <c r="H20" i="15"/>
  <c r="G20" i="15"/>
  <c r="E20" i="15"/>
  <c r="D20" i="15"/>
  <c r="B20" i="15"/>
  <c r="S19" i="15"/>
  <c r="Q19" i="15"/>
  <c r="P19" i="15"/>
  <c r="N19" i="15"/>
  <c r="M19" i="15"/>
  <c r="K19" i="15"/>
  <c r="J19" i="15"/>
  <c r="H19" i="15"/>
  <c r="G19" i="15"/>
  <c r="E19" i="15"/>
  <c r="D19" i="15"/>
  <c r="B19" i="15"/>
  <c r="S18" i="15"/>
  <c r="P18" i="15"/>
  <c r="M18" i="15"/>
  <c r="J18" i="15"/>
  <c r="G18" i="15"/>
  <c r="D18" i="15"/>
  <c r="B18" i="15"/>
  <c r="E18" i="15"/>
  <c r="X5" i="25" l="1"/>
  <c r="K33" i="25"/>
  <c r="H33" i="25"/>
  <c r="E33" i="25"/>
  <c r="B33" i="25"/>
  <c r="L38" i="25"/>
  <c r="L36" i="25"/>
  <c r="L34" i="25"/>
  <c r="K19" i="25"/>
  <c r="H19" i="25"/>
  <c r="I20" i="25" s="1"/>
  <c r="E19" i="25"/>
  <c r="B19" i="25"/>
  <c r="I24" i="25"/>
  <c r="I22" i="25"/>
  <c r="I19" i="25"/>
  <c r="I37" i="23"/>
  <c r="R35" i="23"/>
  <c r="I35" i="23"/>
  <c r="I33" i="23"/>
  <c r="Q32" i="23"/>
  <c r="N32" i="23"/>
  <c r="O37" i="23" s="1"/>
  <c r="K32" i="23"/>
  <c r="I32" i="23"/>
  <c r="H32" i="23"/>
  <c r="I36" i="23" s="1"/>
  <c r="E32" i="23"/>
  <c r="B32" i="23"/>
  <c r="C37" i="23" s="1"/>
  <c r="I23" i="23"/>
  <c r="I21" i="23"/>
  <c r="I19" i="23"/>
  <c r="Q18" i="23"/>
  <c r="N18" i="23"/>
  <c r="K18" i="23"/>
  <c r="H18" i="23"/>
  <c r="E18" i="23"/>
  <c r="B18" i="23"/>
  <c r="V5" i="22"/>
  <c r="I35" i="22"/>
  <c r="I33" i="22"/>
  <c r="Q32" i="22"/>
  <c r="N32" i="22"/>
  <c r="O37" i="22" s="1"/>
  <c r="K32" i="22"/>
  <c r="I32" i="22"/>
  <c r="H32" i="22"/>
  <c r="I36" i="22" s="1"/>
  <c r="E32" i="22"/>
  <c r="B32" i="22"/>
  <c r="C37" i="22" s="1"/>
  <c r="N18" i="22"/>
  <c r="K18" i="22"/>
  <c r="H18" i="22"/>
  <c r="E18" i="22"/>
  <c r="B18" i="22"/>
  <c r="I23" i="22"/>
  <c r="I21" i="22"/>
  <c r="I19" i="22"/>
  <c r="Q18" i="22"/>
  <c r="R23" i="22" s="1"/>
  <c r="L18" i="22"/>
  <c r="L22" i="22"/>
  <c r="I18" i="22"/>
  <c r="I22" i="22"/>
  <c r="F23" i="22"/>
  <c r="Q32" i="15"/>
  <c r="N32" i="15"/>
  <c r="K32" i="15"/>
  <c r="H32" i="15"/>
  <c r="E32" i="15"/>
  <c r="B32" i="15"/>
  <c r="Q18" i="15"/>
  <c r="R19" i="15" s="1"/>
  <c r="N18" i="15"/>
  <c r="O22" i="15" s="1"/>
  <c r="K18" i="15"/>
  <c r="H18" i="15"/>
  <c r="F23" i="15"/>
  <c r="R23" i="15"/>
  <c r="R21" i="15"/>
  <c r="R20" i="15"/>
  <c r="R18" i="15"/>
  <c r="O20" i="15"/>
  <c r="O19" i="15"/>
  <c r="O18" i="15"/>
  <c r="L20" i="15"/>
  <c r="F20" i="15"/>
  <c r="L8" i="25"/>
  <c r="L8" i="23"/>
  <c r="J9" i="25"/>
  <c r="K9" i="25"/>
  <c r="L9" i="25"/>
  <c r="M9" i="25"/>
  <c r="J7" i="25"/>
  <c r="K7" i="25"/>
  <c r="M7" i="25"/>
  <c r="I7" i="25"/>
  <c r="L6" i="25"/>
  <c r="L7" i="25" s="1"/>
  <c r="J9" i="23"/>
  <c r="K9" i="23"/>
  <c r="N9" i="23"/>
  <c r="O9" i="23"/>
  <c r="J7" i="23"/>
  <c r="K7" i="23"/>
  <c r="M7" i="23"/>
  <c r="N7" i="23"/>
  <c r="O7" i="23"/>
  <c r="L9" i="23"/>
  <c r="L6" i="23"/>
  <c r="L7" i="23" s="1"/>
  <c r="L7" i="22"/>
  <c r="M7" i="22"/>
  <c r="L8" i="22"/>
  <c r="M9" i="22" s="1"/>
  <c r="L6" i="22"/>
  <c r="O9" i="22"/>
  <c r="J9" i="22"/>
  <c r="K9" i="22"/>
  <c r="N9" i="22"/>
  <c r="J7" i="22"/>
  <c r="K7" i="22"/>
  <c r="N7" i="22"/>
  <c r="O7" i="22"/>
  <c r="L6" i="15"/>
  <c r="L7" i="15"/>
  <c r="M9" i="15"/>
  <c r="L9" i="15"/>
  <c r="J9" i="15"/>
  <c r="K9" i="15"/>
  <c r="N9" i="15"/>
  <c r="O9" i="15"/>
  <c r="J7" i="15"/>
  <c r="K7" i="15"/>
  <c r="M7" i="15"/>
  <c r="N7" i="15"/>
  <c r="O7" i="15"/>
  <c r="I7" i="15"/>
  <c r="L8" i="15"/>
  <c r="Z5" i="15"/>
  <c r="X5" i="15"/>
  <c r="Y5" i="15"/>
  <c r="W5" i="15"/>
  <c r="I36" i="25" l="1"/>
  <c r="I38" i="25"/>
  <c r="I34" i="25"/>
  <c r="C33" i="25"/>
  <c r="C37" i="25"/>
  <c r="F35" i="25"/>
  <c r="F33" i="25"/>
  <c r="C34" i="25"/>
  <c r="I35" i="25"/>
  <c r="C36" i="25"/>
  <c r="I37" i="25"/>
  <c r="C38" i="25"/>
  <c r="C35" i="25"/>
  <c r="I33" i="25"/>
  <c r="L35" i="25"/>
  <c r="L37" i="25"/>
  <c r="F38" i="25"/>
  <c r="L33" i="25"/>
  <c r="I23" i="25"/>
  <c r="F22" i="25"/>
  <c r="C24" i="25"/>
  <c r="F24" i="25"/>
  <c r="C19" i="25"/>
  <c r="F19" i="25"/>
  <c r="C20" i="25"/>
  <c r="I21" i="25"/>
  <c r="C22" i="25"/>
  <c r="F23" i="25"/>
  <c r="L24" i="25"/>
  <c r="L23" i="25"/>
  <c r="L19" i="25"/>
  <c r="F20" i="25"/>
  <c r="F33" i="23"/>
  <c r="F35" i="23"/>
  <c r="F37" i="23"/>
  <c r="L32" i="23"/>
  <c r="R33" i="23"/>
  <c r="R37" i="23"/>
  <c r="C34" i="23"/>
  <c r="O34" i="23"/>
  <c r="C36" i="23"/>
  <c r="O36" i="23"/>
  <c r="C32" i="23"/>
  <c r="O32" i="23"/>
  <c r="L33" i="23"/>
  <c r="R36" i="23"/>
  <c r="C33" i="23"/>
  <c r="O33" i="23"/>
  <c r="I34" i="23"/>
  <c r="C35" i="23"/>
  <c r="O35" i="23"/>
  <c r="L34" i="23"/>
  <c r="L36" i="23"/>
  <c r="F34" i="23"/>
  <c r="R34" i="23"/>
  <c r="L35" i="23"/>
  <c r="F36" i="23"/>
  <c r="L37" i="23"/>
  <c r="F32" i="23"/>
  <c r="R32" i="23"/>
  <c r="O20" i="23"/>
  <c r="F22" i="23"/>
  <c r="C18" i="23"/>
  <c r="F18" i="23"/>
  <c r="O22" i="23"/>
  <c r="R18" i="23"/>
  <c r="L19" i="23"/>
  <c r="L21" i="23"/>
  <c r="L23" i="23"/>
  <c r="I20" i="23"/>
  <c r="O21" i="23"/>
  <c r="I22" i="23"/>
  <c r="C23" i="23"/>
  <c r="O23" i="23"/>
  <c r="F20" i="23"/>
  <c r="I18" i="23"/>
  <c r="F21" i="23"/>
  <c r="L22" i="23"/>
  <c r="F23" i="23"/>
  <c r="R23" i="23"/>
  <c r="C20" i="23"/>
  <c r="C22" i="23"/>
  <c r="O18" i="23"/>
  <c r="L18" i="23"/>
  <c r="R33" i="22"/>
  <c r="R32" i="22"/>
  <c r="R35" i="22"/>
  <c r="F36" i="22"/>
  <c r="F37" i="22"/>
  <c r="R37" i="22"/>
  <c r="L32" i="22"/>
  <c r="F33" i="22"/>
  <c r="F35" i="22"/>
  <c r="O34" i="22"/>
  <c r="C36" i="22"/>
  <c r="O36" i="22"/>
  <c r="I37" i="22"/>
  <c r="C32" i="22"/>
  <c r="O32" i="22"/>
  <c r="F32" i="22"/>
  <c r="L37" i="22"/>
  <c r="R36" i="22"/>
  <c r="C33" i="22"/>
  <c r="O33" i="22"/>
  <c r="I34" i="22"/>
  <c r="C35" i="22"/>
  <c r="O35" i="22"/>
  <c r="L36" i="22"/>
  <c r="C20" i="22"/>
  <c r="C18" i="22"/>
  <c r="O18" i="22"/>
  <c r="F20" i="22"/>
  <c r="R20" i="22"/>
  <c r="F18" i="22"/>
  <c r="R18" i="22"/>
  <c r="L19" i="22"/>
  <c r="L21" i="22"/>
  <c r="L23" i="22"/>
  <c r="C19" i="22"/>
  <c r="O19" i="22"/>
  <c r="I20" i="22"/>
  <c r="C21" i="22"/>
  <c r="O21" i="22"/>
  <c r="C23" i="22"/>
  <c r="O23" i="22"/>
  <c r="F19" i="22"/>
  <c r="R19" i="22"/>
  <c r="L20" i="22"/>
  <c r="F21" i="22"/>
  <c r="R21" i="22"/>
  <c r="R35" i="15"/>
  <c r="R33" i="15"/>
  <c r="L36" i="15"/>
  <c r="F33" i="15"/>
  <c r="F35" i="15"/>
  <c r="R37" i="15"/>
  <c r="O32" i="15"/>
  <c r="L32" i="15"/>
  <c r="L34" i="15"/>
  <c r="F37" i="15"/>
  <c r="C34" i="15"/>
  <c r="O34" i="15"/>
  <c r="C32" i="15"/>
  <c r="I33" i="15"/>
  <c r="I35" i="15"/>
  <c r="F36" i="15"/>
  <c r="I34" i="15"/>
  <c r="O35" i="15"/>
  <c r="I36" i="15"/>
  <c r="C37" i="15"/>
  <c r="O37" i="15"/>
  <c r="L35" i="15"/>
  <c r="F32" i="15"/>
  <c r="R32" i="15"/>
  <c r="I32" i="15"/>
  <c r="R34" i="15"/>
  <c r="O23" i="15"/>
  <c r="I20" i="15"/>
  <c r="I21" i="15"/>
  <c r="R22" i="15"/>
  <c r="O21" i="15"/>
  <c r="L21" i="15"/>
  <c r="L18" i="15"/>
  <c r="L19" i="15"/>
  <c r="L23" i="15"/>
  <c r="I18" i="15"/>
  <c r="I19" i="15"/>
  <c r="I23" i="15"/>
  <c r="F21" i="15"/>
  <c r="F18" i="15"/>
  <c r="F19" i="15"/>
  <c r="M9" i="23"/>
  <c r="L9" i="22"/>
  <c r="F36" i="25" l="1"/>
  <c r="F34" i="25"/>
  <c r="F37" i="25"/>
  <c r="L20" i="25"/>
  <c r="L22" i="25"/>
  <c r="F21" i="25"/>
  <c r="C23" i="25"/>
  <c r="C21" i="25"/>
  <c r="L21" i="25"/>
  <c r="R21" i="23"/>
  <c r="R22" i="23"/>
  <c r="L20" i="23"/>
  <c r="R19" i="23"/>
  <c r="F19" i="23"/>
  <c r="C21" i="23"/>
  <c r="R20" i="23"/>
  <c r="O19" i="23"/>
  <c r="C19" i="23"/>
  <c r="C34" i="22"/>
  <c r="R34" i="22"/>
  <c r="L34" i="22"/>
  <c r="F34" i="22"/>
  <c r="L35" i="22"/>
  <c r="L33" i="22"/>
  <c r="O22" i="22"/>
  <c r="C22" i="22"/>
  <c r="R22" i="22"/>
  <c r="O20" i="22"/>
  <c r="F22" i="22"/>
  <c r="F34" i="15"/>
  <c r="R36" i="15"/>
  <c r="L37" i="15"/>
  <c r="C35" i="15"/>
  <c r="I37" i="15"/>
  <c r="O36" i="15"/>
  <c r="O33" i="15"/>
  <c r="L33" i="15"/>
  <c r="C33" i="15"/>
  <c r="C36" i="15"/>
  <c r="L22" i="15"/>
  <c r="I22" i="15"/>
  <c r="F22" i="15"/>
  <c r="B16" i="44"/>
  <c r="B15" i="44"/>
  <c r="B14" i="44"/>
  <c r="B13" i="44"/>
  <c r="B12" i="44"/>
  <c r="B11" i="44"/>
  <c r="B10" i="44"/>
  <c r="B9" i="44"/>
  <c r="B8" i="44"/>
  <c r="B7" i="44"/>
  <c r="D16" i="44"/>
  <c r="D15" i="44"/>
  <c r="D14" i="44"/>
  <c r="D13" i="44"/>
  <c r="D12" i="44"/>
  <c r="D11" i="44"/>
  <c r="D10" i="44"/>
  <c r="D9" i="44"/>
  <c r="D8" i="44"/>
  <c r="D7" i="44"/>
  <c r="S23" i="43"/>
  <c r="R23" i="43"/>
  <c r="Q23" i="43"/>
  <c r="P23" i="43"/>
  <c r="O23" i="43"/>
  <c r="N23" i="43"/>
  <c r="M23" i="43"/>
  <c r="L23" i="43"/>
  <c r="K23" i="43"/>
  <c r="J23" i="43"/>
  <c r="I23" i="43"/>
  <c r="H23" i="43"/>
  <c r="G23" i="43"/>
  <c r="F23" i="43"/>
  <c r="E23" i="43"/>
  <c r="D23" i="43"/>
  <c r="C23" i="43"/>
  <c r="B23" i="43"/>
  <c r="S22" i="43"/>
  <c r="R22" i="43"/>
  <c r="Q22" i="43"/>
  <c r="P22" i="43"/>
  <c r="O22" i="43"/>
  <c r="N22" i="43"/>
  <c r="M22" i="43"/>
  <c r="L22" i="43"/>
  <c r="K22" i="43"/>
  <c r="J22" i="43"/>
  <c r="I22" i="43"/>
  <c r="H22" i="43"/>
  <c r="G22" i="43"/>
  <c r="F22" i="43"/>
  <c r="E22" i="43"/>
  <c r="D22" i="43"/>
  <c r="C22" i="43"/>
  <c r="B22" i="43"/>
  <c r="W12" i="43"/>
  <c r="V12" i="43"/>
  <c r="U12" i="43"/>
  <c r="T12" i="43"/>
  <c r="S12" i="43"/>
  <c r="R12" i="43"/>
  <c r="Q12" i="43"/>
  <c r="P12" i="43"/>
  <c r="O12" i="43"/>
  <c r="N12" i="43"/>
  <c r="M12" i="43"/>
  <c r="L12" i="43"/>
  <c r="K12" i="43"/>
  <c r="J12" i="43"/>
  <c r="I12" i="43"/>
  <c r="H12" i="43"/>
  <c r="G12" i="43"/>
  <c r="F12" i="43"/>
  <c r="E12" i="43"/>
  <c r="D12" i="43"/>
  <c r="C12" i="43"/>
  <c r="B12" i="43"/>
  <c r="W11" i="43"/>
  <c r="V11" i="43"/>
  <c r="U11" i="43"/>
  <c r="T11" i="43"/>
  <c r="S11" i="43"/>
  <c r="R11" i="43"/>
  <c r="Q11" i="43"/>
  <c r="P11" i="43"/>
  <c r="O11" i="43"/>
  <c r="N11" i="43"/>
  <c r="M11" i="43"/>
  <c r="L11" i="43"/>
  <c r="K11" i="43"/>
  <c r="J11" i="43"/>
  <c r="I11" i="43"/>
  <c r="H11" i="43"/>
  <c r="G11" i="43"/>
  <c r="F11" i="43"/>
  <c r="E11" i="43"/>
  <c r="D11" i="43"/>
  <c r="C11" i="43"/>
  <c r="B11" i="43"/>
  <c r="S23" i="37"/>
  <c r="S53" i="36"/>
  <c r="H12" i="36" s="1"/>
  <c r="D9" i="36"/>
  <c r="D10" i="36"/>
  <c r="D11" i="36"/>
  <c r="D12" i="36"/>
  <c r="D8" i="36"/>
  <c r="D12" i="18"/>
  <c r="D11" i="18"/>
  <c r="D9" i="18"/>
  <c r="D8" i="18"/>
  <c r="C6" i="15"/>
  <c r="C6" i="22"/>
  <c r="C8" i="23"/>
  <c r="C6" i="23"/>
  <c r="D16" i="38"/>
  <c r="D15" i="38"/>
  <c r="D14" i="38"/>
  <c r="D13" i="38"/>
  <c r="D12" i="38"/>
  <c r="D11" i="38"/>
  <c r="D10" i="38"/>
  <c r="D9" i="38"/>
  <c r="D8" i="38"/>
  <c r="D7" i="38"/>
  <c r="B16" i="38"/>
  <c r="B15" i="38"/>
  <c r="B14" i="38"/>
  <c r="B13" i="38"/>
  <c r="B12" i="38"/>
  <c r="B11" i="38"/>
  <c r="B10" i="38"/>
  <c r="B9" i="38"/>
  <c r="B8" i="38"/>
  <c r="B7" i="38"/>
  <c r="R23" i="37"/>
  <c r="Q23" i="37"/>
  <c r="P23" i="37"/>
  <c r="O23" i="37"/>
  <c r="N23" i="37"/>
  <c r="M23" i="37"/>
  <c r="L23" i="37"/>
  <c r="K23" i="37"/>
  <c r="J23" i="37"/>
  <c r="I23" i="37"/>
  <c r="H23" i="37"/>
  <c r="G23" i="37"/>
  <c r="F23" i="37"/>
  <c r="E23" i="37"/>
  <c r="D23" i="37"/>
  <c r="C23" i="37"/>
  <c r="B23" i="37"/>
  <c r="S22" i="37"/>
  <c r="R22" i="37"/>
  <c r="Q22" i="37"/>
  <c r="P22" i="37"/>
  <c r="O22" i="37"/>
  <c r="N22" i="37"/>
  <c r="M22" i="37"/>
  <c r="L22" i="37"/>
  <c r="K22" i="37"/>
  <c r="J22" i="37"/>
  <c r="I22" i="37"/>
  <c r="H22" i="37"/>
  <c r="G22" i="37"/>
  <c r="F22" i="37"/>
  <c r="E22" i="37"/>
  <c r="D22" i="37"/>
  <c r="C22" i="37"/>
  <c r="B22" i="37"/>
  <c r="W12" i="37"/>
  <c r="V12" i="37"/>
  <c r="U12" i="37"/>
  <c r="T12" i="37"/>
  <c r="S12" i="37"/>
  <c r="R12" i="37"/>
  <c r="Q12" i="37"/>
  <c r="P12" i="37"/>
  <c r="O12" i="37"/>
  <c r="N12" i="37"/>
  <c r="M12" i="37"/>
  <c r="L12" i="37"/>
  <c r="K12" i="37"/>
  <c r="J12" i="37"/>
  <c r="I12" i="37"/>
  <c r="H12" i="37"/>
  <c r="G12" i="37"/>
  <c r="F12" i="37"/>
  <c r="E12" i="37"/>
  <c r="D12" i="37"/>
  <c r="C12" i="37"/>
  <c r="B12" i="37"/>
  <c r="W11" i="37"/>
  <c r="V11" i="37"/>
  <c r="U11" i="37"/>
  <c r="T11" i="37"/>
  <c r="S11" i="37"/>
  <c r="R11" i="37"/>
  <c r="Q11" i="37"/>
  <c r="P11" i="37"/>
  <c r="O11" i="37"/>
  <c r="N11" i="37"/>
  <c r="M11" i="37"/>
  <c r="L11" i="37"/>
  <c r="K11" i="37"/>
  <c r="J11" i="37"/>
  <c r="I11" i="37"/>
  <c r="H11" i="37"/>
  <c r="G11" i="37"/>
  <c r="F11" i="37"/>
  <c r="E11" i="37"/>
  <c r="D11" i="37"/>
  <c r="C11" i="37"/>
  <c r="B11" i="37"/>
  <c r="R53" i="36"/>
  <c r="Q53" i="36"/>
  <c r="P53" i="36"/>
  <c r="O53" i="36"/>
  <c r="N53" i="36"/>
  <c r="M53" i="36"/>
  <c r="L53" i="36"/>
  <c r="K53" i="36"/>
  <c r="J53" i="36"/>
  <c r="I53" i="36"/>
  <c r="H53" i="36"/>
  <c r="G53" i="36"/>
  <c r="F53" i="36"/>
  <c r="E53" i="36"/>
  <c r="D53" i="36"/>
  <c r="C53" i="36"/>
  <c r="B53" i="36"/>
  <c r="S52" i="36"/>
  <c r="H11" i="36" s="1"/>
  <c r="R52" i="36"/>
  <c r="Q52" i="36"/>
  <c r="P52" i="36"/>
  <c r="O52" i="36"/>
  <c r="N52" i="36"/>
  <c r="M52" i="36"/>
  <c r="L52" i="36"/>
  <c r="K52" i="36"/>
  <c r="J52" i="36"/>
  <c r="I52" i="36"/>
  <c r="H52" i="36"/>
  <c r="G52" i="36"/>
  <c r="F52" i="36"/>
  <c r="E52" i="36"/>
  <c r="D52" i="36"/>
  <c r="C52" i="36"/>
  <c r="B52" i="36"/>
  <c r="S51" i="36"/>
  <c r="H10" i="36" s="1"/>
  <c r="R51" i="36"/>
  <c r="Q51" i="36"/>
  <c r="P51" i="36"/>
  <c r="O51" i="36"/>
  <c r="N51" i="36"/>
  <c r="M51" i="36"/>
  <c r="L51" i="36"/>
  <c r="K51" i="36"/>
  <c r="J51" i="36"/>
  <c r="I51" i="36"/>
  <c r="H51" i="36"/>
  <c r="G51" i="36"/>
  <c r="F51" i="36"/>
  <c r="E51" i="36"/>
  <c r="D51" i="36"/>
  <c r="C51" i="36"/>
  <c r="B51" i="36"/>
  <c r="S50" i="36"/>
  <c r="H9" i="36" s="1"/>
  <c r="R50" i="36"/>
  <c r="Q50" i="36"/>
  <c r="P50" i="36"/>
  <c r="O50" i="36"/>
  <c r="N50" i="36"/>
  <c r="M50" i="36"/>
  <c r="L50" i="36"/>
  <c r="K50" i="36"/>
  <c r="J50" i="36"/>
  <c r="I50" i="36"/>
  <c r="H50" i="36"/>
  <c r="G50" i="36"/>
  <c r="F50" i="36"/>
  <c r="E50" i="36"/>
  <c r="D50" i="36"/>
  <c r="C50" i="36"/>
  <c r="B50" i="36"/>
  <c r="S49" i="36"/>
  <c r="H8" i="36" s="1"/>
  <c r="R49" i="36"/>
  <c r="Q49" i="36"/>
  <c r="P49" i="36"/>
  <c r="O49" i="36"/>
  <c r="N49" i="36"/>
  <c r="M49" i="36"/>
  <c r="L49" i="36"/>
  <c r="K49" i="36"/>
  <c r="J49" i="36"/>
  <c r="I49" i="36"/>
  <c r="H49" i="36"/>
  <c r="G49" i="36"/>
  <c r="F49" i="36"/>
  <c r="E49" i="36"/>
  <c r="D49" i="36"/>
  <c r="C49" i="36"/>
  <c r="B49" i="36"/>
  <c r="S48" i="36"/>
  <c r="H7" i="36" s="1"/>
  <c r="R48" i="36"/>
  <c r="Q48" i="36"/>
  <c r="P48" i="36"/>
  <c r="O48" i="36"/>
  <c r="N48" i="36"/>
  <c r="M48" i="36"/>
  <c r="L48" i="36"/>
  <c r="K48" i="36"/>
  <c r="J48" i="36"/>
  <c r="I48" i="36"/>
  <c r="H48" i="36"/>
  <c r="G48" i="36"/>
  <c r="F48" i="36"/>
  <c r="E48" i="36"/>
  <c r="D48" i="36"/>
  <c r="C48" i="36"/>
  <c r="B48" i="36"/>
  <c r="W34" i="36"/>
  <c r="F12" i="36" s="1"/>
  <c r="V34" i="36"/>
  <c r="U34" i="36"/>
  <c r="T34" i="36"/>
  <c r="S34" i="36"/>
  <c r="R34" i="36"/>
  <c r="Q34" i="36"/>
  <c r="P34" i="36"/>
  <c r="O34" i="36"/>
  <c r="N34" i="36"/>
  <c r="M34" i="36"/>
  <c r="L34" i="36"/>
  <c r="K34" i="36"/>
  <c r="J34" i="36"/>
  <c r="I34" i="36"/>
  <c r="H34" i="36"/>
  <c r="G34" i="36"/>
  <c r="F34" i="36"/>
  <c r="E34" i="36"/>
  <c r="D34" i="36"/>
  <c r="C34" i="36"/>
  <c r="B34" i="36"/>
  <c r="W33" i="36"/>
  <c r="F11" i="36" s="1"/>
  <c r="V33" i="36"/>
  <c r="U33" i="36"/>
  <c r="T33" i="36"/>
  <c r="S33" i="36"/>
  <c r="R33" i="36"/>
  <c r="Q33" i="36"/>
  <c r="P33" i="36"/>
  <c r="O33" i="36"/>
  <c r="N33" i="36"/>
  <c r="M33" i="36"/>
  <c r="L33" i="36"/>
  <c r="K33" i="36"/>
  <c r="J33" i="36"/>
  <c r="I33" i="36"/>
  <c r="H33" i="36"/>
  <c r="G33" i="36"/>
  <c r="F33" i="36"/>
  <c r="E33" i="36"/>
  <c r="D33" i="36"/>
  <c r="C33" i="36"/>
  <c r="B33" i="36"/>
  <c r="W32" i="36"/>
  <c r="F10" i="36" s="1"/>
  <c r="V32" i="36"/>
  <c r="U32" i="36"/>
  <c r="T32" i="36"/>
  <c r="S32" i="36"/>
  <c r="R32" i="36"/>
  <c r="Q32" i="36"/>
  <c r="P32" i="36"/>
  <c r="O32" i="36"/>
  <c r="N32" i="36"/>
  <c r="M32" i="36"/>
  <c r="L32" i="36"/>
  <c r="K32" i="36"/>
  <c r="J32" i="36"/>
  <c r="I32" i="36"/>
  <c r="H32" i="36"/>
  <c r="G32" i="36"/>
  <c r="F32" i="36"/>
  <c r="E32" i="36"/>
  <c r="D32" i="36"/>
  <c r="C32" i="36"/>
  <c r="B32" i="36"/>
  <c r="W31" i="36"/>
  <c r="F9" i="36" s="1"/>
  <c r="V31" i="36"/>
  <c r="U31" i="36"/>
  <c r="T31" i="36"/>
  <c r="S31" i="36"/>
  <c r="R31" i="36"/>
  <c r="Q31" i="36"/>
  <c r="P31" i="36"/>
  <c r="O31" i="36"/>
  <c r="N31" i="36"/>
  <c r="M31" i="36"/>
  <c r="L31" i="36"/>
  <c r="K31" i="36"/>
  <c r="J31" i="36"/>
  <c r="I31" i="36"/>
  <c r="H31" i="36"/>
  <c r="G31" i="36"/>
  <c r="F31" i="36"/>
  <c r="E31" i="36"/>
  <c r="D31" i="36"/>
  <c r="C31" i="36"/>
  <c r="B31" i="36"/>
  <c r="W30" i="36"/>
  <c r="F8" i="36" s="1"/>
  <c r="V30" i="36"/>
  <c r="U30" i="36"/>
  <c r="T30" i="36"/>
  <c r="S30" i="36"/>
  <c r="R30" i="36"/>
  <c r="Q30" i="36"/>
  <c r="P30" i="36"/>
  <c r="O30" i="36"/>
  <c r="N30" i="36"/>
  <c r="M30" i="36"/>
  <c r="L30" i="36"/>
  <c r="K30" i="36"/>
  <c r="J30" i="36"/>
  <c r="I30" i="36"/>
  <c r="H30" i="36"/>
  <c r="G30" i="36"/>
  <c r="F30" i="36"/>
  <c r="E30" i="36"/>
  <c r="D30" i="36"/>
  <c r="C30" i="36"/>
  <c r="B30" i="36"/>
  <c r="W29" i="36"/>
  <c r="F7" i="36" s="1"/>
  <c r="V29" i="36"/>
  <c r="U29" i="36"/>
  <c r="T29" i="36"/>
  <c r="S29" i="36"/>
  <c r="R29" i="36"/>
  <c r="Q29" i="36"/>
  <c r="P29" i="36"/>
  <c r="O29" i="36"/>
  <c r="N29" i="36"/>
  <c r="M29" i="36"/>
  <c r="L29" i="36"/>
  <c r="K29" i="36"/>
  <c r="J29" i="36"/>
  <c r="I29" i="36"/>
  <c r="H29" i="36"/>
  <c r="G29" i="36"/>
  <c r="F29" i="36"/>
  <c r="E29" i="36"/>
  <c r="D29" i="36"/>
  <c r="C29" i="36"/>
  <c r="B29" i="36"/>
  <c r="G12" i="36"/>
  <c r="E12" i="36"/>
  <c r="G11" i="36"/>
  <c r="E11" i="36"/>
  <c r="G10" i="36"/>
  <c r="E10" i="36"/>
  <c r="G9" i="36"/>
  <c r="E9" i="36"/>
  <c r="G8" i="36"/>
  <c r="E8" i="36"/>
  <c r="G7" i="36"/>
  <c r="E7" i="36"/>
  <c r="D16" i="20"/>
  <c r="D15" i="20"/>
  <c r="D14" i="20"/>
  <c r="D13" i="20"/>
  <c r="D12" i="20"/>
  <c r="D11" i="20"/>
  <c r="D10" i="20"/>
  <c r="D9" i="20"/>
  <c r="D8" i="20"/>
  <c r="D7" i="20"/>
  <c r="B16" i="20"/>
  <c r="B15" i="20"/>
  <c r="B14" i="20"/>
  <c r="B13" i="20"/>
  <c r="B12" i="20"/>
  <c r="B11" i="20"/>
  <c r="B10" i="20"/>
  <c r="B9" i="20"/>
  <c r="B8" i="20"/>
  <c r="B7" i="20"/>
  <c r="D16" i="29"/>
  <c r="D15" i="29"/>
  <c r="D14" i="29"/>
  <c r="D13" i="29"/>
  <c r="D12" i="29"/>
  <c r="D11" i="29"/>
  <c r="D10" i="29"/>
  <c r="D9" i="29"/>
  <c r="D8" i="29"/>
  <c r="D7" i="29"/>
  <c r="B16" i="29"/>
  <c r="B15" i="29"/>
  <c r="B14" i="29"/>
  <c r="B13" i="29"/>
  <c r="B12" i="29"/>
  <c r="B11" i="29"/>
  <c r="B10" i="29"/>
  <c r="B9" i="29"/>
  <c r="B8" i="29"/>
  <c r="B7" i="29"/>
  <c r="B11" i="33"/>
  <c r="C34" i="32"/>
  <c r="S23" i="33"/>
  <c r="R23" i="33"/>
  <c r="Q23" i="33"/>
  <c r="P23" i="33"/>
  <c r="O23" i="33"/>
  <c r="N23" i="33"/>
  <c r="M23" i="33"/>
  <c r="L23" i="33"/>
  <c r="K23" i="33"/>
  <c r="J23" i="33"/>
  <c r="I23" i="33"/>
  <c r="H23" i="33"/>
  <c r="G23" i="33"/>
  <c r="F23" i="33"/>
  <c r="E23" i="33"/>
  <c r="D23" i="33"/>
  <c r="C23" i="33"/>
  <c r="B23" i="33"/>
  <c r="S22" i="33"/>
  <c r="R22" i="33"/>
  <c r="Q22" i="33"/>
  <c r="P22" i="33"/>
  <c r="O22" i="33"/>
  <c r="N22" i="33"/>
  <c r="M22" i="33"/>
  <c r="L22" i="33"/>
  <c r="K22" i="33"/>
  <c r="J22" i="33"/>
  <c r="I22" i="33"/>
  <c r="H22" i="33"/>
  <c r="G22" i="33"/>
  <c r="F22" i="33"/>
  <c r="E22" i="33"/>
  <c r="D22" i="33"/>
  <c r="C22" i="33"/>
  <c r="B22" i="33"/>
  <c r="W12" i="33"/>
  <c r="V12" i="33"/>
  <c r="U12" i="33"/>
  <c r="T12" i="33"/>
  <c r="S12" i="33"/>
  <c r="R12" i="33"/>
  <c r="Q12" i="33"/>
  <c r="P12" i="33"/>
  <c r="O12" i="33"/>
  <c r="N12" i="33"/>
  <c r="M12" i="33"/>
  <c r="L12" i="33"/>
  <c r="K12" i="33"/>
  <c r="J12" i="33"/>
  <c r="I12" i="33"/>
  <c r="H12" i="33"/>
  <c r="G12" i="33"/>
  <c r="F12" i="33"/>
  <c r="E12" i="33"/>
  <c r="D12" i="33"/>
  <c r="C12" i="33"/>
  <c r="B12" i="33"/>
  <c r="W11" i="33"/>
  <c r="V11" i="33"/>
  <c r="U11" i="33"/>
  <c r="T11" i="33"/>
  <c r="S11" i="33"/>
  <c r="R11" i="33"/>
  <c r="Q11" i="33"/>
  <c r="P11" i="33"/>
  <c r="O11" i="33"/>
  <c r="N11" i="33"/>
  <c r="M11" i="33"/>
  <c r="L11" i="33"/>
  <c r="K11" i="33"/>
  <c r="J11" i="33"/>
  <c r="I11" i="33"/>
  <c r="H11" i="33"/>
  <c r="G11" i="33"/>
  <c r="F11" i="33"/>
  <c r="E11" i="33"/>
  <c r="D11" i="33"/>
  <c r="C11" i="33"/>
  <c r="S53" i="32"/>
  <c r="R53" i="32"/>
  <c r="Q53" i="32"/>
  <c r="P53" i="32"/>
  <c r="O53" i="32"/>
  <c r="N53" i="32"/>
  <c r="M53" i="32"/>
  <c r="L53" i="32"/>
  <c r="K53" i="32"/>
  <c r="J53" i="32"/>
  <c r="I53" i="32"/>
  <c r="H53" i="32"/>
  <c r="G53" i="32"/>
  <c r="F53" i="32"/>
  <c r="E53" i="32"/>
  <c r="D53" i="32"/>
  <c r="C53" i="32"/>
  <c r="B53" i="32"/>
  <c r="S52" i="32"/>
  <c r="R52" i="32"/>
  <c r="Q52" i="32"/>
  <c r="P52" i="32"/>
  <c r="O52" i="32"/>
  <c r="N52" i="32"/>
  <c r="M52" i="32"/>
  <c r="L52" i="32"/>
  <c r="K52" i="32"/>
  <c r="J52" i="32"/>
  <c r="I52" i="32"/>
  <c r="H52" i="32"/>
  <c r="G52" i="32"/>
  <c r="F52" i="32"/>
  <c r="E52" i="32"/>
  <c r="D52" i="32"/>
  <c r="C52" i="32"/>
  <c r="B52" i="32"/>
  <c r="S51" i="32"/>
  <c r="R51" i="32"/>
  <c r="Q51" i="32"/>
  <c r="P51" i="32"/>
  <c r="O51" i="32"/>
  <c r="N51" i="32"/>
  <c r="M51" i="32"/>
  <c r="L51" i="32"/>
  <c r="K51" i="32"/>
  <c r="J51" i="32"/>
  <c r="I51" i="32"/>
  <c r="H51" i="32"/>
  <c r="G51" i="32"/>
  <c r="F51" i="32"/>
  <c r="E51" i="32"/>
  <c r="D51" i="32"/>
  <c r="C51" i="32"/>
  <c r="B51" i="32"/>
  <c r="S50" i="32"/>
  <c r="R50" i="32"/>
  <c r="Q50" i="32"/>
  <c r="P50" i="32"/>
  <c r="O50" i="32"/>
  <c r="N50" i="32"/>
  <c r="M50" i="32"/>
  <c r="L50" i="32"/>
  <c r="K50" i="32"/>
  <c r="J50" i="32"/>
  <c r="I50" i="32"/>
  <c r="H50" i="32"/>
  <c r="G50" i="32"/>
  <c r="F50" i="32"/>
  <c r="E50" i="32"/>
  <c r="D50" i="32"/>
  <c r="C50" i="32"/>
  <c r="B50" i="32"/>
  <c r="S49" i="32"/>
  <c r="R49" i="32"/>
  <c r="Q49" i="32"/>
  <c r="P49" i="32"/>
  <c r="O49" i="32"/>
  <c r="N49" i="32"/>
  <c r="M49" i="32"/>
  <c r="L49" i="32"/>
  <c r="K49" i="32"/>
  <c r="J49" i="32"/>
  <c r="I49" i="32"/>
  <c r="H49" i="32"/>
  <c r="G49" i="32"/>
  <c r="F49" i="32"/>
  <c r="E49" i="32"/>
  <c r="D49" i="32"/>
  <c r="C49" i="32"/>
  <c r="B49" i="32"/>
  <c r="S48" i="32"/>
  <c r="H7" i="32" s="1"/>
  <c r="R48" i="32"/>
  <c r="Q48" i="32"/>
  <c r="P48" i="32"/>
  <c r="O48" i="32"/>
  <c r="N48" i="32"/>
  <c r="M48" i="32"/>
  <c r="L48" i="32"/>
  <c r="K48" i="32"/>
  <c r="J48" i="32"/>
  <c r="I48" i="32"/>
  <c r="H48" i="32"/>
  <c r="G48" i="32"/>
  <c r="F48" i="32"/>
  <c r="E48" i="32"/>
  <c r="D48" i="32"/>
  <c r="C48" i="32"/>
  <c r="B48" i="32"/>
  <c r="W34" i="32"/>
  <c r="V34" i="32"/>
  <c r="U34" i="32"/>
  <c r="T34" i="32"/>
  <c r="S34" i="32"/>
  <c r="R34" i="32"/>
  <c r="Q34" i="32"/>
  <c r="P34" i="32"/>
  <c r="O34" i="32"/>
  <c r="N34" i="32"/>
  <c r="M34" i="32"/>
  <c r="L34" i="32"/>
  <c r="K34" i="32"/>
  <c r="J34" i="32"/>
  <c r="I34" i="32"/>
  <c r="H34" i="32"/>
  <c r="G34" i="32"/>
  <c r="F34" i="32"/>
  <c r="E34" i="32"/>
  <c r="D34" i="32"/>
  <c r="B34" i="32"/>
  <c r="V33" i="32"/>
  <c r="U33" i="32"/>
  <c r="T33" i="32"/>
  <c r="S33" i="32"/>
  <c r="R33" i="32"/>
  <c r="Q33" i="32"/>
  <c r="P33" i="32"/>
  <c r="O33" i="32"/>
  <c r="N33" i="32"/>
  <c r="M33" i="32"/>
  <c r="L33" i="32"/>
  <c r="K33" i="32"/>
  <c r="J33" i="32"/>
  <c r="I33" i="32"/>
  <c r="H33" i="32"/>
  <c r="G33" i="32"/>
  <c r="F33" i="32"/>
  <c r="E33" i="32"/>
  <c r="D33" i="32"/>
  <c r="C33" i="32"/>
  <c r="W32" i="32"/>
  <c r="V32" i="32"/>
  <c r="U32" i="32"/>
  <c r="T32" i="32"/>
  <c r="S32" i="32"/>
  <c r="R32" i="32"/>
  <c r="Q32" i="32"/>
  <c r="P32" i="32"/>
  <c r="O32" i="32"/>
  <c r="N32" i="32"/>
  <c r="M32" i="32"/>
  <c r="L32" i="32"/>
  <c r="K32" i="32"/>
  <c r="J32" i="32"/>
  <c r="I32" i="32"/>
  <c r="H32" i="32"/>
  <c r="G32" i="32"/>
  <c r="F32" i="32"/>
  <c r="E32" i="32"/>
  <c r="D32" i="32"/>
  <c r="C32" i="32"/>
  <c r="B32" i="32"/>
  <c r="W31" i="32"/>
  <c r="V31" i="32"/>
  <c r="U31" i="32"/>
  <c r="T31" i="32"/>
  <c r="S31" i="32"/>
  <c r="R31" i="32"/>
  <c r="Q31" i="32"/>
  <c r="P31" i="32"/>
  <c r="O31" i="32"/>
  <c r="N31" i="32"/>
  <c r="M31" i="32"/>
  <c r="L31" i="32"/>
  <c r="K31" i="32"/>
  <c r="J31" i="32"/>
  <c r="I31" i="32"/>
  <c r="H31" i="32"/>
  <c r="G31" i="32"/>
  <c r="F31" i="32"/>
  <c r="E31" i="32"/>
  <c r="D31" i="32"/>
  <c r="C31" i="32"/>
  <c r="B31" i="32"/>
  <c r="W30" i="32"/>
  <c r="V30" i="32"/>
  <c r="U30" i="32"/>
  <c r="T30" i="32"/>
  <c r="S30" i="32"/>
  <c r="R30" i="32"/>
  <c r="Q30" i="32"/>
  <c r="P30" i="32"/>
  <c r="O30" i="32"/>
  <c r="N30" i="32"/>
  <c r="M30" i="32"/>
  <c r="L30" i="32"/>
  <c r="K30" i="32"/>
  <c r="J30" i="32"/>
  <c r="I30" i="32"/>
  <c r="H30" i="32"/>
  <c r="G30" i="32"/>
  <c r="F30" i="32"/>
  <c r="E30" i="32"/>
  <c r="D30" i="32"/>
  <c r="C30" i="32"/>
  <c r="B30" i="32"/>
  <c r="W29" i="32"/>
  <c r="F7" i="32" s="1"/>
  <c r="V29" i="32"/>
  <c r="U29" i="32"/>
  <c r="T29" i="32"/>
  <c r="S29" i="32"/>
  <c r="R29" i="32"/>
  <c r="Q29" i="32"/>
  <c r="P29" i="32"/>
  <c r="O29" i="32"/>
  <c r="N29" i="32"/>
  <c r="M29" i="32"/>
  <c r="L29" i="32"/>
  <c r="K29" i="32"/>
  <c r="J29" i="32"/>
  <c r="I29" i="32"/>
  <c r="H29" i="32"/>
  <c r="G29" i="32"/>
  <c r="F29" i="32"/>
  <c r="E29" i="32"/>
  <c r="D29" i="32"/>
  <c r="C29" i="32"/>
  <c r="B29" i="32"/>
  <c r="G7" i="32"/>
  <c r="E7" i="32"/>
  <c r="E12" i="18"/>
  <c r="E11" i="18"/>
  <c r="E10" i="18"/>
  <c r="E9" i="18"/>
  <c r="E8" i="18"/>
  <c r="E7" i="18"/>
  <c r="S23" i="19"/>
  <c r="R23" i="19"/>
  <c r="Q23" i="19"/>
  <c r="P23" i="19"/>
  <c r="O23" i="19"/>
  <c r="N23" i="19"/>
  <c r="M23" i="19"/>
  <c r="L23" i="19"/>
  <c r="K23" i="19"/>
  <c r="J23" i="19"/>
  <c r="I23" i="19"/>
  <c r="H23" i="19"/>
  <c r="G23" i="19"/>
  <c r="F23" i="19"/>
  <c r="E23" i="19"/>
  <c r="D23" i="19"/>
  <c r="C23" i="19"/>
  <c r="B23" i="19"/>
  <c r="S22" i="19"/>
  <c r="R22" i="19"/>
  <c r="Q22" i="19"/>
  <c r="P22" i="19"/>
  <c r="O22" i="19"/>
  <c r="N22" i="19"/>
  <c r="M22" i="19"/>
  <c r="L22" i="19"/>
  <c r="K22" i="19"/>
  <c r="J22" i="19"/>
  <c r="I22" i="19"/>
  <c r="H22" i="19"/>
  <c r="G22" i="19"/>
  <c r="F22" i="19"/>
  <c r="E22" i="19"/>
  <c r="D22" i="19"/>
  <c r="C22" i="19"/>
  <c r="B22" i="19"/>
  <c r="W12" i="19"/>
  <c r="V12" i="19"/>
  <c r="U12" i="19"/>
  <c r="T12" i="19"/>
  <c r="S12" i="19"/>
  <c r="R12" i="19"/>
  <c r="Q12" i="19"/>
  <c r="P12" i="19"/>
  <c r="O12" i="19"/>
  <c r="N12" i="19"/>
  <c r="M12" i="19"/>
  <c r="L12" i="19"/>
  <c r="K12" i="19"/>
  <c r="J12" i="19"/>
  <c r="I12" i="19"/>
  <c r="H12" i="19"/>
  <c r="G12" i="19"/>
  <c r="F12" i="19"/>
  <c r="E12" i="19"/>
  <c r="D12" i="19"/>
  <c r="C12" i="19"/>
  <c r="B12" i="19"/>
  <c r="W11" i="19"/>
  <c r="V11" i="19"/>
  <c r="U11" i="19"/>
  <c r="T11" i="19"/>
  <c r="S11" i="19"/>
  <c r="R11" i="19"/>
  <c r="Q11" i="19"/>
  <c r="P11" i="19"/>
  <c r="O11" i="19"/>
  <c r="N11" i="19"/>
  <c r="M11" i="19"/>
  <c r="L11" i="19"/>
  <c r="K11" i="19"/>
  <c r="J11" i="19"/>
  <c r="I11" i="19"/>
  <c r="H11" i="19"/>
  <c r="G11" i="19"/>
  <c r="F11" i="19"/>
  <c r="E11" i="19"/>
  <c r="D11" i="19"/>
  <c r="C11" i="19"/>
  <c r="B11" i="19"/>
  <c r="G12" i="18"/>
  <c r="G11" i="18"/>
  <c r="G10" i="18"/>
  <c r="G9" i="18"/>
  <c r="G8" i="18"/>
  <c r="G7" i="18"/>
  <c r="B30" i="18"/>
  <c r="B53" i="18"/>
  <c r="B52" i="18"/>
  <c r="B51" i="18"/>
  <c r="B50" i="18"/>
  <c r="B49" i="18"/>
  <c r="B48" i="18"/>
  <c r="S53" i="18"/>
  <c r="H12" i="18" s="1"/>
  <c r="R53" i="18"/>
  <c r="Q53" i="18"/>
  <c r="P53" i="18"/>
  <c r="O53" i="18"/>
  <c r="N53" i="18"/>
  <c r="M53" i="18"/>
  <c r="L53" i="18"/>
  <c r="K53" i="18"/>
  <c r="J53" i="18"/>
  <c r="I53" i="18"/>
  <c r="H53" i="18"/>
  <c r="G53" i="18"/>
  <c r="F53" i="18"/>
  <c r="E53" i="18"/>
  <c r="D53" i="18"/>
  <c r="C53" i="18"/>
  <c r="S52" i="18"/>
  <c r="H11" i="18" s="1"/>
  <c r="R52" i="18"/>
  <c r="Q52" i="18"/>
  <c r="P52" i="18"/>
  <c r="O52" i="18"/>
  <c r="N52" i="18"/>
  <c r="M52" i="18"/>
  <c r="L52" i="18"/>
  <c r="K52" i="18"/>
  <c r="J52" i="18"/>
  <c r="I52" i="18"/>
  <c r="H52" i="18"/>
  <c r="G52" i="18"/>
  <c r="F52" i="18"/>
  <c r="E52" i="18"/>
  <c r="D52" i="18"/>
  <c r="C52" i="18"/>
  <c r="S51" i="18"/>
  <c r="H10" i="18" s="1"/>
  <c r="R51" i="18"/>
  <c r="Q51" i="18"/>
  <c r="P51" i="18"/>
  <c r="O51" i="18"/>
  <c r="N51" i="18"/>
  <c r="M51" i="18"/>
  <c r="L51" i="18"/>
  <c r="K51" i="18"/>
  <c r="J51" i="18"/>
  <c r="I51" i="18"/>
  <c r="H51" i="18"/>
  <c r="G51" i="18"/>
  <c r="F51" i="18"/>
  <c r="E51" i="18"/>
  <c r="D51" i="18"/>
  <c r="C51" i="18"/>
  <c r="S50" i="18"/>
  <c r="H9" i="18" s="1"/>
  <c r="R50" i="18"/>
  <c r="Q50" i="18"/>
  <c r="P50" i="18"/>
  <c r="O50" i="18"/>
  <c r="N50" i="18"/>
  <c r="M50" i="18"/>
  <c r="L50" i="18"/>
  <c r="K50" i="18"/>
  <c r="J50" i="18"/>
  <c r="I50" i="18"/>
  <c r="H50" i="18"/>
  <c r="G50" i="18"/>
  <c r="F50" i="18"/>
  <c r="E50" i="18"/>
  <c r="D50" i="18"/>
  <c r="C50" i="18"/>
  <c r="S49" i="18"/>
  <c r="H8" i="18" s="1"/>
  <c r="R49" i="18"/>
  <c r="Q49" i="18"/>
  <c r="P49" i="18"/>
  <c r="O49" i="18"/>
  <c r="N49" i="18"/>
  <c r="M49" i="18"/>
  <c r="L49" i="18"/>
  <c r="K49" i="18"/>
  <c r="J49" i="18"/>
  <c r="I49" i="18"/>
  <c r="H49" i="18"/>
  <c r="G49" i="18"/>
  <c r="F49" i="18"/>
  <c r="E49" i="18"/>
  <c r="D49" i="18"/>
  <c r="C49" i="18"/>
  <c r="W34" i="18"/>
  <c r="F12" i="18" s="1"/>
  <c r="V34" i="18"/>
  <c r="U34" i="18"/>
  <c r="T34" i="18"/>
  <c r="S34" i="18"/>
  <c r="R34" i="18"/>
  <c r="Q34" i="18"/>
  <c r="P34" i="18"/>
  <c r="O34" i="18"/>
  <c r="N34" i="18"/>
  <c r="M34" i="18"/>
  <c r="L34" i="18"/>
  <c r="K34" i="18"/>
  <c r="J34" i="18"/>
  <c r="I34" i="18"/>
  <c r="H34" i="18"/>
  <c r="G34" i="18"/>
  <c r="F34" i="18"/>
  <c r="E34" i="18"/>
  <c r="D34" i="18"/>
  <c r="C34" i="18"/>
  <c r="B34" i="18"/>
  <c r="W33" i="18"/>
  <c r="F11" i="18" s="1"/>
  <c r="V33" i="18"/>
  <c r="U33" i="18"/>
  <c r="T33" i="18"/>
  <c r="S33" i="18"/>
  <c r="R33" i="18"/>
  <c r="Q33" i="18"/>
  <c r="P33" i="18"/>
  <c r="O33" i="18"/>
  <c r="N33" i="18"/>
  <c r="M33" i="18"/>
  <c r="L33" i="18"/>
  <c r="K33" i="18"/>
  <c r="J33" i="18"/>
  <c r="I33" i="18"/>
  <c r="H33" i="18"/>
  <c r="G33" i="18"/>
  <c r="F33" i="18"/>
  <c r="E33" i="18"/>
  <c r="D33" i="18"/>
  <c r="C33" i="18"/>
  <c r="B33" i="18"/>
  <c r="W32" i="18"/>
  <c r="F10" i="18" s="1"/>
  <c r="V32" i="18"/>
  <c r="U32" i="18"/>
  <c r="T32" i="18"/>
  <c r="S32" i="18"/>
  <c r="R32" i="18"/>
  <c r="Q32" i="18"/>
  <c r="P32" i="18"/>
  <c r="O32" i="18"/>
  <c r="N32" i="18"/>
  <c r="M32" i="18"/>
  <c r="L32" i="18"/>
  <c r="K32" i="18"/>
  <c r="J32" i="18"/>
  <c r="I32" i="18"/>
  <c r="H32" i="18"/>
  <c r="G32" i="18"/>
  <c r="F32" i="18"/>
  <c r="E32" i="18"/>
  <c r="D32" i="18"/>
  <c r="C32" i="18"/>
  <c r="B32" i="18"/>
  <c r="W31" i="18"/>
  <c r="F9" i="18" s="1"/>
  <c r="V31" i="18"/>
  <c r="U31" i="18"/>
  <c r="T31" i="18"/>
  <c r="S31" i="18"/>
  <c r="R31" i="18"/>
  <c r="Q31" i="18"/>
  <c r="P31" i="18"/>
  <c r="O31" i="18"/>
  <c r="N31" i="18"/>
  <c r="M31" i="18"/>
  <c r="L31" i="18"/>
  <c r="K31" i="18"/>
  <c r="J31" i="18"/>
  <c r="I31" i="18"/>
  <c r="H31" i="18"/>
  <c r="G31" i="18"/>
  <c r="F31" i="18"/>
  <c r="E31" i="18"/>
  <c r="D31" i="18"/>
  <c r="C31" i="18"/>
  <c r="B31" i="18"/>
  <c r="W30" i="18"/>
  <c r="F8" i="18" s="1"/>
  <c r="V30" i="18"/>
  <c r="U30" i="18"/>
  <c r="T30" i="18"/>
  <c r="S30" i="18"/>
  <c r="R30" i="18"/>
  <c r="Q30" i="18"/>
  <c r="P30" i="18"/>
  <c r="O30" i="18"/>
  <c r="N30" i="18"/>
  <c r="M30" i="18"/>
  <c r="L30" i="18"/>
  <c r="K30" i="18"/>
  <c r="J30" i="18"/>
  <c r="I30" i="18"/>
  <c r="H30" i="18"/>
  <c r="G30" i="18"/>
  <c r="F30" i="18"/>
  <c r="E30" i="18"/>
  <c r="D30" i="18"/>
  <c r="C30" i="18"/>
  <c r="F29" i="18"/>
  <c r="C29" i="18"/>
  <c r="B29" i="18"/>
  <c r="S48" i="18"/>
  <c r="H7" i="18" s="1"/>
  <c r="R48" i="18"/>
  <c r="Q48" i="18"/>
  <c r="P48" i="18"/>
  <c r="O48" i="18"/>
  <c r="N48" i="18"/>
  <c r="M48" i="18"/>
  <c r="L48" i="18"/>
  <c r="K48" i="18"/>
  <c r="J48" i="18"/>
  <c r="I48" i="18"/>
  <c r="H48" i="18"/>
  <c r="G48" i="18"/>
  <c r="F48" i="18"/>
  <c r="E48" i="18"/>
  <c r="D48" i="18"/>
  <c r="C48" i="18"/>
  <c r="W29" i="18"/>
  <c r="F7" i="18" s="1"/>
  <c r="V29" i="18"/>
  <c r="U29" i="18"/>
  <c r="T29" i="18"/>
  <c r="S29" i="18"/>
  <c r="R29" i="18"/>
  <c r="Q29" i="18"/>
  <c r="P29" i="18"/>
  <c r="O29" i="18"/>
  <c r="N29" i="18"/>
  <c r="M29" i="18"/>
  <c r="L29" i="18"/>
  <c r="K29" i="18"/>
  <c r="J29" i="18"/>
  <c r="I29" i="18"/>
  <c r="H29" i="18"/>
  <c r="G29" i="18"/>
  <c r="E29" i="18"/>
  <c r="D29" i="18"/>
  <c r="AA30" i="25" l="1"/>
  <c r="AA31" i="25" s="1"/>
  <c r="AA32" i="25" s="1"/>
  <c r="AA33" i="25" s="1"/>
  <c r="AA34" i="25" s="1"/>
  <c r="AA35" i="25" s="1"/>
  <c r="AA36" i="25" s="1"/>
  <c r="AA37" i="25" s="1"/>
  <c r="AA38" i="25" s="1"/>
  <c r="AA39" i="25" s="1"/>
  <c r="AA40" i="25" s="1"/>
  <c r="AA41" i="25" s="1"/>
  <c r="AA42" i="25" s="1"/>
  <c r="AA43" i="25" s="1"/>
  <c r="AA44" i="25" s="1"/>
  <c r="AA45" i="25" s="1"/>
  <c r="AA46" i="25" s="1"/>
  <c r="AA47" i="25" s="1"/>
  <c r="AA48" i="25" s="1"/>
  <c r="AA49" i="25" s="1"/>
  <c r="AA50" i="25" s="1"/>
  <c r="Z30" i="25"/>
  <c r="Z31" i="25" s="1"/>
  <c r="Z32" i="25" s="1"/>
  <c r="Z33" i="25" s="1"/>
  <c r="Z34" i="25" s="1"/>
  <c r="Z35" i="25" s="1"/>
  <c r="Z36" i="25" s="1"/>
  <c r="Z37" i="25" s="1"/>
  <c r="Z38" i="25" s="1"/>
  <c r="Z39" i="25" s="1"/>
  <c r="Z40" i="25" s="1"/>
  <c r="Z41" i="25" s="1"/>
  <c r="Z42" i="25" s="1"/>
  <c r="Z43" i="25" s="1"/>
  <c r="Z44" i="25" s="1"/>
  <c r="Z45" i="25" s="1"/>
  <c r="Z46" i="25" s="1"/>
  <c r="Z47" i="25" s="1"/>
  <c r="Z48" i="25" s="1"/>
  <c r="Z49" i="25" s="1"/>
  <c r="Z50" i="25" s="1"/>
  <c r="Y30" i="25"/>
  <c r="X30" i="25"/>
  <c r="W30" i="25"/>
  <c r="V30" i="25"/>
  <c r="I9" i="25"/>
  <c r="AA5" i="25"/>
  <c r="AA6" i="25" s="1"/>
  <c r="AA7" i="25" s="1"/>
  <c r="AA8" i="25" s="1"/>
  <c r="AA9" i="25" s="1"/>
  <c r="AA10" i="25" s="1"/>
  <c r="AA11" i="25" s="1"/>
  <c r="AA12" i="25" s="1"/>
  <c r="AA13" i="25" s="1"/>
  <c r="AA14" i="25" s="1"/>
  <c r="AA15" i="25" s="1"/>
  <c r="AA16" i="25" s="1"/>
  <c r="AA17" i="25" s="1"/>
  <c r="AA18" i="25" s="1"/>
  <c r="AA19" i="25" s="1"/>
  <c r="AA20" i="25" s="1"/>
  <c r="AA21" i="25" s="1"/>
  <c r="AA22" i="25" s="1"/>
  <c r="AA23" i="25" s="1"/>
  <c r="AA24" i="25" s="1"/>
  <c r="AA25" i="25" s="1"/>
  <c r="Z5" i="25"/>
  <c r="Z6" i="25" s="1"/>
  <c r="Z7" i="25" s="1"/>
  <c r="Z8" i="25" s="1"/>
  <c r="Z9" i="25" s="1"/>
  <c r="Z10" i="25" s="1"/>
  <c r="Z11" i="25" s="1"/>
  <c r="Z12" i="25" s="1"/>
  <c r="Z13" i="25" s="1"/>
  <c r="Z14" i="25" s="1"/>
  <c r="Z15" i="25" s="1"/>
  <c r="Z16" i="25" s="1"/>
  <c r="Z17" i="25" s="1"/>
  <c r="Z18" i="25" s="1"/>
  <c r="Z19" i="25" s="1"/>
  <c r="Z20" i="25" s="1"/>
  <c r="Z21" i="25" s="1"/>
  <c r="Z22" i="25" s="1"/>
  <c r="Z23" i="25" s="1"/>
  <c r="Z24" i="25" s="1"/>
  <c r="Z25" i="25" s="1"/>
  <c r="Y5" i="25"/>
  <c r="W5" i="25"/>
  <c r="V5" i="25"/>
  <c r="AA30" i="23" l="1"/>
  <c r="Z30" i="23"/>
  <c r="Y30" i="23"/>
  <c r="X30" i="23"/>
  <c r="W30" i="23"/>
  <c r="V30" i="23"/>
  <c r="I9" i="23"/>
  <c r="I7" i="23"/>
  <c r="AA5" i="23"/>
  <c r="Z5" i="23"/>
  <c r="Y5" i="23"/>
  <c r="X5" i="23"/>
  <c r="W5" i="23"/>
  <c r="V5" i="23"/>
  <c r="AA30" i="22"/>
  <c r="Z30" i="22"/>
  <c r="Y30" i="22"/>
  <c r="X30" i="22"/>
  <c r="W30" i="22"/>
  <c r="V30" i="22"/>
  <c r="AA5" i="22"/>
  <c r="Z5" i="22"/>
  <c r="Y5" i="22"/>
  <c r="X5" i="22"/>
  <c r="W5" i="22"/>
  <c r="V30" i="15"/>
  <c r="AA5" i="15"/>
  <c r="V5" i="15"/>
  <c r="AA30" i="15"/>
  <c r="Z30" i="15"/>
  <c r="Y30" i="15"/>
  <c r="X30" i="15"/>
  <c r="W30" i="15"/>
  <c r="C18" i="15" l="1"/>
  <c r="C21" i="15"/>
  <c r="C23" i="15"/>
  <c r="C20" i="13"/>
  <c r="C21" i="13"/>
  <c r="C22" i="13"/>
  <c r="C19" i="13"/>
  <c r="C12" i="13"/>
  <c r="C13" i="13"/>
  <c r="C14" i="13"/>
  <c r="C11" i="13"/>
  <c r="I9" i="22"/>
  <c r="C20" i="15" l="1"/>
  <c r="C19" i="15"/>
  <c r="C22" i="15"/>
  <c r="I7" i="22"/>
  <c r="D19" i="13" l="1"/>
  <c r="I9" i="15" l="1"/>
  <c r="D20" i="13" l="1"/>
  <c r="D21" i="13" l="1"/>
  <c r="D22" i="13"/>
  <c r="I19" i="13"/>
  <c r="I20" i="13"/>
  <c r="I22" i="13" s="1"/>
  <c r="E20" i="13"/>
  <c r="E22" i="13" s="1"/>
  <c r="E19" i="13"/>
  <c r="D11" i="13"/>
  <c r="I21" i="13" l="1"/>
  <c r="H21" i="13" s="1"/>
  <c r="K20" i="13"/>
  <c r="L20" i="13" s="1"/>
  <c r="L22" i="13" s="1"/>
  <c r="J20" i="13"/>
  <c r="J22" i="13" s="1"/>
  <c r="K19" i="13"/>
  <c r="J19" i="13"/>
  <c r="E21" i="13"/>
  <c r="K21" i="13"/>
  <c r="I11" i="13"/>
  <c r="E11" i="13"/>
  <c r="D12" i="13"/>
  <c r="L19" i="13" l="1"/>
  <c r="M19" i="13"/>
  <c r="N19" i="13" s="1"/>
  <c r="O19" i="13" s="1"/>
  <c r="K11" i="13"/>
  <c r="J11" i="13"/>
  <c r="M21" i="13"/>
  <c r="N21" i="13" s="1"/>
  <c r="O21" i="13" s="1"/>
  <c r="L21" i="13"/>
  <c r="M20" i="13"/>
  <c r="K22" i="13"/>
  <c r="D13" i="13"/>
  <c r="D14" i="13"/>
  <c r="F21" i="13"/>
  <c r="G21" i="13"/>
  <c r="H13" i="13"/>
  <c r="H12" i="13" s="1"/>
  <c r="H20" i="13"/>
  <c r="J21" i="13"/>
  <c r="I12" i="13"/>
  <c r="E12" i="13"/>
  <c r="E14" i="13" s="1"/>
  <c r="L11" i="13" l="1"/>
  <c r="M11" i="13"/>
  <c r="N11" i="13" s="1"/>
  <c r="O11" i="13" s="1"/>
  <c r="H22" i="13"/>
  <c r="H19" i="13"/>
  <c r="G20" i="13"/>
  <c r="G13" i="13"/>
  <c r="G12" i="13" s="1"/>
  <c r="H14" i="13"/>
  <c r="H11" i="13"/>
  <c r="F20" i="13"/>
  <c r="F13" i="13"/>
  <c r="F12" i="13" s="1"/>
  <c r="J12" i="13"/>
  <c r="J14" i="13" s="1"/>
  <c r="I14" i="13"/>
  <c r="N20" i="13"/>
  <c r="O20" i="13" s="1"/>
  <c r="M22" i="13"/>
  <c r="K12" i="13"/>
  <c r="L12" i="13" s="1"/>
  <c r="L14" i="13" s="1"/>
  <c r="I13" i="13"/>
  <c r="J13" i="13" s="1"/>
  <c r="E13" i="13"/>
  <c r="F11" i="13" l="1"/>
  <c r="F14" i="13"/>
  <c r="F19" i="13"/>
  <c r="F22" i="13"/>
  <c r="G11" i="13"/>
  <c r="G14" i="13"/>
  <c r="G19" i="13"/>
  <c r="G22" i="13"/>
  <c r="M12" i="13"/>
  <c r="K14" i="13"/>
  <c r="K13" i="13"/>
  <c r="M13" i="13" l="1"/>
  <c r="N13" i="13" s="1"/>
  <c r="O13" i="13" s="1"/>
  <c r="L13" i="13"/>
  <c r="N12" i="13"/>
  <c r="O12" i="13" s="1"/>
  <c r="M14" i="13"/>
</calcChain>
</file>

<file path=xl/sharedStrings.xml><?xml version="1.0" encoding="utf-8"?>
<sst xmlns="http://schemas.openxmlformats.org/spreadsheetml/2006/main" count="1799" uniqueCount="475">
  <si>
    <t>ECE Wage Scale</t>
  </si>
  <si>
    <t>Michigan</t>
  </si>
  <si>
    <t>September 2023</t>
  </si>
  <si>
    <t>Data Supplement</t>
  </si>
  <si>
    <t>Table of Contents (Click on links)</t>
  </si>
  <si>
    <t>Wage Scale</t>
  </si>
  <si>
    <t>A</t>
  </si>
  <si>
    <t>Systemwide Wage Scale</t>
  </si>
  <si>
    <t>B</t>
  </si>
  <si>
    <t>Notes</t>
  </si>
  <si>
    <t>Lead Teachers</t>
  </si>
  <si>
    <t>Wage Scaling</t>
  </si>
  <si>
    <t>Workforce Demographics</t>
  </si>
  <si>
    <t>C</t>
  </si>
  <si>
    <t>Top Comparable Occupations</t>
  </si>
  <si>
    <t>D</t>
  </si>
  <si>
    <t>Employment and Wage Trends</t>
  </si>
  <si>
    <t>E</t>
  </si>
  <si>
    <t>Occupation Flows</t>
  </si>
  <si>
    <t>F</t>
  </si>
  <si>
    <t>Real-time Demand</t>
  </si>
  <si>
    <t>G</t>
  </si>
  <si>
    <t>Commuting Patterns</t>
  </si>
  <si>
    <t>Assistant Teachers</t>
  </si>
  <si>
    <t xml:space="preserve"> Aide/Floater</t>
  </si>
  <si>
    <t>Substitute Teacher</t>
  </si>
  <si>
    <t>Methodology</t>
  </si>
  <si>
    <r>
      <t xml:space="preserve">The proposed wage scale </t>
    </r>
    <r>
      <rPr>
        <b/>
        <sz val="10"/>
        <color theme="1"/>
        <rFont val="Arial"/>
        <family val="2"/>
      </rPr>
      <t>benchmarks ECE wages against comparable K-12 roles</t>
    </r>
    <r>
      <rPr>
        <sz val="10"/>
        <color theme="1"/>
        <rFont val="Arial"/>
        <family val="2"/>
      </rPr>
      <t xml:space="preserve"> by setting the Lead Teacher wage on par with the starting salary of a K-12 teacher in Michigan (adjusted for the standard school schedule), which serves as the base wage for the systemwide wage scale. The base wage for an Assistant Teacher and Substitute stands 25% below the base wage of a Lead Teacher, while the base wage for an Aide/Floater is 50% less than a Lead Teacher. This scaling reflects the accumulation of responsibility, knowledge, and experience that occurs as one transgresses along the ECE career pathway from Aide to Lead Teacher.
The</t>
    </r>
    <r>
      <rPr>
        <b/>
        <sz val="10"/>
        <color theme="1"/>
        <rFont val="Arial"/>
        <family val="2"/>
      </rPr>
      <t xml:space="preserve"> systemwide wage scale is agnostic to setting</t>
    </r>
    <r>
      <rPr>
        <sz val="10"/>
        <color theme="1"/>
        <rFont val="Arial"/>
        <family val="2"/>
      </rPr>
      <t xml:space="preserve"> (school-based, center-based, family or group childcare home). Thus, </t>
    </r>
    <r>
      <rPr>
        <b/>
        <sz val="10"/>
        <color theme="1"/>
        <rFont val="Arial"/>
        <family val="2"/>
      </rPr>
      <t>wages are based on the specific role, professional level/education, and experience an individual has</t>
    </r>
    <r>
      <rPr>
        <sz val="10"/>
        <color theme="1"/>
        <rFont val="Arial"/>
        <family val="2"/>
      </rPr>
      <t xml:space="preserve"> — irrespective of the setting in which they are employed. The base wages shown below</t>
    </r>
    <r>
      <rPr>
        <b/>
        <sz val="10"/>
        <color theme="1"/>
        <rFont val="Arial"/>
        <family val="2"/>
      </rPr>
      <t xml:space="preserve"> increase by 10% for each professional/educational level</t>
    </r>
    <r>
      <rPr>
        <sz val="10"/>
        <color theme="1"/>
        <rFont val="Arial"/>
        <family val="2"/>
      </rPr>
      <t xml:space="preserve"> an individual has obtained above a Child Development Associate (CDA) credential. This method encourages progression, which is strongly linked to quality, and helps account for the fact that licensing requirements vary across settings for these ECE roles. 
ECE professionals supervising </t>
    </r>
    <r>
      <rPr>
        <b/>
        <sz val="10"/>
        <color theme="1"/>
        <rFont val="Arial"/>
        <family val="2"/>
      </rPr>
      <t>infant- and toddler-aged children will receive a 10% increase</t>
    </r>
    <r>
      <rPr>
        <sz val="10"/>
        <color theme="1"/>
        <rFont val="Arial"/>
        <family val="2"/>
      </rPr>
      <t xml:space="preserve"> from the base wage associated with that role supervising preschool-aged children. This wage bump reflects the intense level of supervision required for infants and toddlers compared to preschoolers, a notion which is further reinforced by the provider-to-child ratios set by the state — which become less restrictive as children age.  
To account for longevity, early educators should receive a </t>
    </r>
    <r>
      <rPr>
        <b/>
        <sz val="10"/>
        <color theme="1"/>
        <rFont val="Arial"/>
        <family val="2"/>
      </rPr>
      <t>2.5% increase for each year of employment</t>
    </r>
    <r>
      <rPr>
        <sz val="10"/>
        <color theme="1"/>
        <rFont val="Arial"/>
        <family val="2"/>
      </rPr>
      <t xml:space="preserve">. This reflects the average step increase offered to K-12 educators and is equal to the average rate of inflation forecasted in the state over the next 10 years — ensuring wages rise at a rate equal to the cost of living. </t>
    </r>
  </si>
  <si>
    <t>Proposed - Pay Parity with K-12 Teachers</t>
  </si>
  <si>
    <t>Instructional Staff</t>
  </si>
  <si>
    <t>Current Median Wage</t>
  </si>
  <si>
    <t>Proposed Base Wage</t>
  </si>
  <si>
    <r>
      <t xml:space="preserve">Annual Salary       </t>
    </r>
    <r>
      <rPr>
        <sz val="11"/>
        <rFont val="Arial"/>
        <family val="2"/>
      </rPr>
      <t>(52 weeks)</t>
    </r>
  </si>
  <si>
    <t>ECE I</t>
  </si>
  <si>
    <t>ECE II</t>
  </si>
  <si>
    <t>ECE III</t>
  </si>
  <si>
    <t xml:space="preserve">Explanation for Proposed Base Wage </t>
  </si>
  <si>
    <t>Hourly</t>
  </si>
  <si>
    <r>
      <t xml:space="preserve">Annual Salary      </t>
    </r>
    <r>
      <rPr>
        <b/>
        <sz val="10"/>
        <rFont val="Arial"/>
        <family val="2"/>
      </rPr>
      <t xml:space="preserve"> </t>
    </r>
    <r>
      <rPr>
        <sz val="10"/>
        <rFont val="Arial"/>
        <family val="2"/>
      </rPr>
      <t>(52 weeks)</t>
    </r>
  </si>
  <si>
    <r>
      <t xml:space="preserve">F1 </t>
    </r>
    <r>
      <rPr>
        <i/>
        <sz val="11"/>
        <color rgb="FFFFFFFF"/>
        <rFont val="Arial"/>
        <family val="2"/>
      </rPr>
      <t>HSE</t>
    </r>
  </si>
  <si>
    <r>
      <t xml:space="preserve">F2 </t>
    </r>
    <r>
      <rPr>
        <i/>
        <sz val="11"/>
        <color rgb="FFFFFFFF"/>
        <rFont val="Arial"/>
        <family val="2"/>
      </rPr>
      <t>HSE</t>
    </r>
  </si>
  <si>
    <r>
      <t xml:space="preserve">F3 </t>
    </r>
    <r>
      <rPr>
        <i/>
        <sz val="11"/>
        <color rgb="FFFFFFFF"/>
        <rFont val="Arial"/>
        <family val="2"/>
      </rPr>
      <t>HSE</t>
    </r>
  </si>
  <si>
    <t>P1</t>
  </si>
  <si>
    <r>
      <t xml:space="preserve">P2 </t>
    </r>
    <r>
      <rPr>
        <i/>
        <sz val="11"/>
        <color rgb="FFFFFFFF"/>
        <rFont val="Arial"/>
        <family val="2"/>
      </rPr>
      <t>AA</t>
    </r>
  </si>
  <si>
    <r>
      <t xml:space="preserve">P3 </t>
    </r>
    <r>
      <rPr>
        <i/>
        <sz val="11"/>
        <color rgb="FFFFFFFF"/>
        <rFont val="Arial"/>
        <family val="2"/>
      </rPr>
      <t>BA</t>
    </r>
  </si>
  <si>
    <r>
      <t xml:space="preserve">P4 </t>
    </r>
    <r>
      <rPr>
        <i/>
        <sz val="11"/>
        <color rgb="FFFFFFFF"/>
        <rFont val="Arial"/>
        <family val="2"/>
      </rPr>
      <t>MA</t>
    </r>
  </si>
  <si>
    <r>
      <t xml:space="preserve">P5 </t>
    </r>
    <r>
      <rPr>
        <i/>
        <sz val="11"/>
        <color rgb="FFFFFFFF"/>
        <rFont val="Arial"/>
        <family val="2"/>
      </rPr>
      <t>Ed.D. or Ph.D.</t>
    </r>
  </si>
  <si>
    <t>Note: All Infant/Toddler instructional roles are 10% more than Preschool roles</t>
  </si>
  <si>
    <t>CDA</t>
  </si>
  <si>
    <t>CDA + Apprenticeship</t>
  </si>
  <si>
    <t>AA</t>
  </si>
  <si>
    <t>AA + Apprenticeship</t>
  </si>
  <si>
    <t>Lead Teacher, Infant-Toddler</t>
  </si>
  <si>
    <t>Median Hourly rate for Step 1 Teacher Salary ($48,761 a year) + 10%</t>
  </si>
  <si>
    <t>Assistant Teacher, Infant-Toddler</t>
  </si>
  <si>
    <t>25% less than Lead Teacher</t>
  </si>
  <si>
    <t>Aide/floater, Infant-Toddler</t>
  </si>
  <si>
    <t>25% less than Assistant Teacher</t>
  </si>
  <si>
    <t>Substitute, Infant-Toddler</t>
  </si>
  <si>
    <t>-</t>
  </si>
  <si>
    <t>Parity with Assistant Teacher, which has similar responsibilities             (10% increase for long-term assignments)</t>
  </si>
  <si>
    <t>Note: All Professional Levels increase by 10% - Infant/Toddler instructional roles are 10% more than Preschool roles</t>
  </si>
  <si>
    <t>Lead Teacher, Preschool</t>
  </si>
  <si>
    <t>Median Hourly rate for Step 1 Teacher Salary ($48,761 a year)</t>
  </si>
  <si>
    <t>Assistant Teacher, Preschool</t>
  </si>
  <si>
    <t>Aide/floater, Preschool</t>
  </si>
  <si>
    <t xml:space="preserve">25% less than Assistant Teacher </t>
  </si>
  <si>
    <t>Substitute, Preschool</t>
  </si>
  <si>
    <t>1B | Systemwide Wage Scale -- Notes</t>
  </si>
  <si>
    <t>How to Use the Proposed Wage Scales</t>
  </si>
  <si>
    <t>Base Wage</t>
  </si>
  <si>
    <t>The proposed wage scale benchmarks ECE wages against comparable K-12 roles by setting the Lead Teacher wage on par with the starting salary of a K-12 teacher, which serves as the base wage. Column P lists which wage/role is the base (also highlighted in yellow). If you change the base wage, the formulas in every cell will reflect this change.</t>
  </si>
  <si>
    <t>Proposed Models</t>
  </si>
  <si>
    <r>
      <t xml:space="preserve">The </t>
    </r>
    <r>
      <rPr>
        <b/>
        <sz val="11"/>
        <color theme="1"/>
        <rFont val="Arial"/>
        <family val="2"/>
      </rPr>
      <t>Systemwide Wage Scales</t>
    </r>
    <r>
      <rPr>
        <sz val="11"/>
        <color theme="1"/>
        <rFont val="Arial"/>
        <family val="2"/>
      </rPr>
      <t xml:space="preserve"> is agnostic to setting and so all functional and foundational level have a proposed wage. We recommend that Michigan implements a wage scale that is the same across settings and so utilizing a unified "systemwide" wage scale may make messaging more clear to those both within and outside of the field. We recognize that licensing requirements differ between settings (school-based, center-based, family or group childcare home). Most states who have explored wage scales do so similarly, while utilizing a comparison chart to highlight the different requirements based on settings. The wages are still the same across setting based on the specific role and professional level/education experience an individual has. </t>
    </r>
  </si>
  <si>
    <t xml:space="preserve">We have included a three separate tables that outline the educational requirements for  each role based on setting, as well as the MiRegistry and Power to the Professions Framework. </t>
  </si>
  <si>
    <t>MiRegistry Foundational &amp; Professional Level Overview</t>
  </si>
  <si>
    <t>ECE Level</t>
  </si>
  <si>
    <t>Education Requirement</t>
  </si>
  <si>
    <t>F1 (ECE I)</t>
  </si>
  <si>
    <t>High School Diploma</t>
  </si>
  <si>
    <t>F2 (ECE I)</t>
  </si>
  <si>
    <t>High School Diploma + 60 hrs of training</t>
  </si>
  <si>
    <t>F3 (ECE I)</t>
  </si>
  <si>
    <t>High School Diploma + 90 hrs of training + 6 semesters</t>
  </si>
  <si>
    <t>P1 (ECE I)</t>
  </si>
  <si>
    <t>CDA + 12 semesters</t>
  </si>
  <si>
    <t>P2 (ECE II)</t>
  </si>
  <si>
    <t>Associate Degree in ECE</t>
  </si>
  <si>
    <t>P3 (ECE III)</t>
  </si>
  <si>
    <t>BA in ECE or related field &amp; 30 credit hours in ECE</t>
  </si>
  <si>
    <t>P4 (ECE III)</t>
  </si>
  <si>
    <t>Masters Degree</t>
  </si>
  <si>
    <t>P5 (ECE III)</t>
  </si>
  <si>
    <t>Ph.D or Ed.D. in ECE</t>
  </si>
  <si>
    <t>The following shows at a glance, the licensing requirements required for each role of the Wage Scale for each setting:</t>
  </si>
  <si>
    <t>Position</t>
  </si>
  <si>
    <t>Family/Group Child Care Homes</t>
  </si>
  <si>
    <t>Child Care Centers</t>
  </si>
  <si>
    <t>School-Aged Only</t>
  </si>
  <si>
    <t>F1</t>
  </si>
  <si>
    <t>not applicable</t>
  </si>
  <si>
    <t>P3</t>
  </si>
  <si>
    <t>Varies, but mostly P2/ECE II</t>
  </si>
  <si>
    <t xml:space="preserve">The following Comparison Chart (also located in the accompanying report "Early Childhood Education Wage Scale and Strategy") shows the licensing requirements based on setting.  </t>
  </si>
  <si>
    <t>Comparison Chart</t>
  </si>
  <si>
    <t>Feature</t>
  </si>
  <si>
    <t>School-Based, including Head Start &amp; GSRP</t>
  </si>
  <si>
    <t>Family Care Centers</t>
  </si>
  <si>
    <t>Lead Teacher Minimum Qualifications</t>
  </si>
  <si>
    <t>Bachelor’s Degree with at least 18 hours in Early Childhood Education; sometimes requires valid Michigan teaching certificate</t>
  </si>
  <si>
    <t>High School Diploma and Child Development Associate (CDA) credential</t>
  </si>
  <si>
    <r>
      <t xml:space="preserve">High School Diploma + one college course in Early Childhood Education </t>
    </r>
    <r>
      <rPr>
        <u/>
        <sz val="11"/>
        <color theme="1"/>
        <rFont val="Arial"/>
        <family val="2"/>
      </rPr>
      <t>or</t>
    </r>
    <r>
      <rPr>
        <sz val="11"/>
        <color theme="1"/>
        <rFont val="Arial"/>
        <family val="2"/>
      </rPr>
      <t xml:space="preserve"> 20 hours of training</t>
    </r>
  </si>
  <si>
    <t>Assistant Teacher Minimum Qualifications</t>
  </si>
  <si>
    <t>High School Diploma + Child Development Associate (CDA) credential</t>
  </si>
  <si>
    <t>Childcare Aide Minimum Qualifications</t>
  </si>
  <si>
    <r>
      <t xml:space="preserve">High School Diploma + Child Development Associate (CDA) credential </t>
    </r>
    <r>
      <rPr>
        <i/>
        <sz val="11"/>
        <color theme="1"/>
        <rFont val="Arial"/>
        <family val="2"/>
      </rPr>
      <t xml:space="preserve">or </t>
    </r>
    <r>
      <rPr>
        <sz val="11"/>
        <color theme="1"/>
        <rFont val="Arial"/>
        <family val="2"/>
      </rPr>
      <t>up to 2 Child Development credits</t>
    </r>
  </si>
  <si>
    <t>High School Diploma + 12 early childhood education credit hours</t>
  </si>
  <si>
    <t>Annual Work Schedule</t>
  </si>
  <si>
    <t>10 months each year</t>
  </si>
  <si>
    <t>12 months each year</t>
  </si>
  <si>
    <t>12 months per year</t>
  </si>
  <si>
    <t>Expected Daily Work Schedule</t>
  </si>
  <si>
    <t>8 hours per day</t>
  </si>
  <si>
    <t>Hours may vary from part-time to full-time. In some cases, may include non-traditional hours.</t>
  </si>
  <si>
    <t>Years of Experience/Annual Salary Increase</t>
  </si>
  <si>
    <t>Typically negotiated through a union contract. However, less than half of School-based teachers are covered by a contract.</t>
  </si>
  <si>
    <t xml:space="preserve">Decided by the leadership of the private for-profit business, nonprofit, or faith-based organization.  </t>
  </si>
  <si>
    <t xml:space="preserve">Decided by the owner.  </t>
  </si>
  <si>
    <t>2A | Lead Teacher -- Proposed Wage Scaling</t>
  </si>
  <si>
    <r>
      <t xml:space="preserve">P1 </t>
    </r>
    <r>
      <rPr>
        <i/>
        <sz val="11"/>
        <color rgb="FFFFFFFF"/>
        <rFont val="Arial"/>
        <family val="2"/>
      </rPr>
      <t>CDA</t>
    </r>
  </si>
  <si>
    <t>Years in Lane</t>
  </si>
  <si>
    <t>HSE</t>
  </si>
  <si>
    <t>BA</t>
  </si>
  <si>
    <t>MA</t>
  </si>
  <si>
    <t>Ed.D. or Ph.D.</t>
  </si>
  <si>
    <t>Hourly Wage Increments</t>
  </si>
  <si>
    <t>Proposed Pay Scale for Lead Teacher, Infant-Toddler</t>
  </si>
  <si>
    <t>Years of Experience</t>
  </si>
  <si>
    <r>
      <t xml:space="preserve">F1, F2, F3 </t>
    </r>
    <r>
      <rPr>
        <i/>
        <sz val="11"/>
        <color rgb="FFFFFFFF"/>
        <rFont val="Arial"/>
        <family val="2"/>
      </rPr>
      <t>HSE</t>
    </r>
  </si>
  <si>
    <r>
      <t>P3 B</t>
    </r>
    <r>
      <rPr>
        <i/>
        <sz val="11"/>
        <color rgb="FFFFFFFF"/>
        <rFont val="Arial"/>
        <family val="2"/>
      </rPr>
      <t>A</t>
    </r>
  </si>
  <si>
    <r>
      <t xml:space="preserve">P5 </t>
    </r>
    <r>
      <rPr>
        <i/>
        <sz val="11"/>
        <color rgb="FFFFFFFF"/>
        <rFont val="Arial"/>
        <family val="2"/>
      </rPr>
      <t>Ed.D or Ph.D</t>
    </r>
  </si>
  <si>
    <t>Min</t>
  </si>
  <si>
    <t>Median</t>
  </si>
  <si>
    <t>Max</t>
  </si>
  <si>
    <t>0-3 Years</t>
  </si>
  <si>
    <t>4-6 Years</t>
  </si>
  <si>
    <t>7-9 Years</t>
  </si>
  <si>
    <t>10-12 Years</t>
  </si>
  <si>
    <t>13-15 Years</t>
  </si>
  <si>
    <t>16+ Years</t>
  </si>
  <si>
    <t>Proposed Pay Scale for Lead Teacher, Preschool</t>
  </si>
  <si>
    <t>F1, F2, F3 HSE</t>
  </si>
  <si>
    <r>
      <t xml:space="preserve">P5 </t>
    </r>
    <r>
      <rPr>
        <i/>
        <sz val="11"/>
        <color rgb="FFFFFFFF"/>
        <rFont val="Arial"/>
        <family val="2"/>
      </rPr>
      <t>Ed.D. or Ph.D</t>
    </r>
  </si>
  <si>
    <t>2B | Lead Teacher -- Workforce Demographics</t>
  </si>
  <si>
    <t>Age Distribution, Michigan, 2022</t>
  </si>
  <si>
    <t>Education, Michigan, 2022</t>
  </si>
  <si>
    <t>Racial/Ethnic Distribution, Michigan, 2022</t>
  </si>
  <si>
    <t>Gender Distribution, Michigan, 2022</t>
  </si>
  <si>
    <t>Age</t>
  </si>
  <si>
    <t>Jobs</t>
  </si>
  <si>
    <t>Percentage</t>
  </si>
  <si>
    <t>Race/Ethnicity</t>
  </si>
  <si>
    <t>Gender</t>
  </si>
  <si>
    <t>14-18</t>
  </si>
  <si>
    <t>Less than high school</t>
  </si>
  <si>
    <t>White</t>
  </si>
  <si>
    <t>Males</t>
  </si>
  <si>
    <t>19-24</t>
  </si>
  <si>
    <t>High school</t>
  </si>
  <si>
    <t>Black/African American</t>
  </si>
  <si>
    <t>Females</t>
  </si>
  <si>
    <t>25-34</t>
  </si>
  <si>
    <t>Some college</t>
  </si>
  <si>
    <t>Hispanic/Latino (any race)</t>
  </si>
  <si>
    <t>35-44</t>
  </si>
  <si>
    <t>Associate's degree</t>
  </si>
  <si>
    <t>Two or More Races</t>
  </si>
  <si>
    <t>45-54</t>
  </si>
  <si>
    <t>Bachelor's degree</t>
  </si>
  <si>
    <t>Asian</t>
  </si>
  <si>
    <t>55-64</t>
  </si>
  <si>
    <t>Master's degree</t>
  </si>
  <si>
    <t>American Indian/Alaska Native</t>
  </si>
  <si>
    <t>65+</t>
  </si>
  <si>
    <t>Doctoral or professional degree</t>
  </si>
  <si>
    <t>Native Hawaiian/Other Pacific Islander</t>
  </si>
  <si>
    <t>2C | Lead Teacher -- Top Comparable Occupations</t>
  </si>
  <si>
    <t>Top Comparable Roles, Lead Teacher</t>
  </si>
  <si>
    <t>Occupation</t>
  </si>
  <si>
    <t>Share of overlapping skills</t>
  </si>
  <si>
    <t>Median Hourly Wage, 2022</t>
  </si>
  <si>
    <t>Difference from  Lead Teacher Wage</t>
  </si>
  <si>
    <r>
      <t xml:space="preserve">Employment Growth            </t>
    </r>
    <r>
      <rPr>
        <sz val="10"/>
        <color theme="0"/>
        <rFont val="Arial"/>
        <family val="2"/>
      </rPr>
      <t>(2001-2022)</t>
    </r>
  </si>
  <si>
    <r>
      <t xml:space="preserve">Median Hourly Wage Growth </t>
    </r>
    <r>
      <rPr>
        <sz val="10"/>
        <color theme="0"/>
        <rFont val="Arial"/>
        <family val="2"/>
      </rPr>
      <t>(2005-2022)</t>
    </r>
  </si>
  <si>
    <t>#</t>
  </si>
  <si>
    <t>%</t>
  </si>
  <si>
    <t>Lead Teacher</t>
  </si>
  <si>
    <t>Kindergarten Teacher</t>
  </si>
  <si>
    <t>Self-Enrichment Teacher</t>
  </si>
  <si>
    <t>Bank Teller</t>
  </si>
  <si>
    <t>Psychiatric Aide</t>
  </si>
  <si>
    <t>Office Clerk</t>
  </si>
  <si>
    <t>Lead Teacher, Employment Trends, Michigan (2001-2022)</t>
  </si>
  <si>
    <t>Lead Teacher, Employment Growth, Michigan (Indexed to 2001)</t>
  </si>
  <si>
    <t>Self-Enrichment Teachers</t>
  </si>
  <si>
    <t>Psychiatric Aides</t>
  </si>
  <si>
    <t>Bank Tellers</t>
  </si>
  <si>
    <t>Lead Teacher, Growth in Median Hourly Earnings, Michigan (2005-2022)</t>
  </si>
  <si>
    <t>Lead Teacher, Median Hourly Wage Growth, Michigan (Indexed to 2005)</t>
  </si>
  <si>
    <t>2E | Lead Teacher -- Occupation Flows</t>
  </si>
  <si>
    <t>Top Preceeding and Superseding Occupations, Michigan, 2022</t>
  </si>
  <si>
    <t>Previous</t>
  </si>
  <si>
    <t>Following</t>
  </si>
  <si>
    <t xml:space="preserve"> Occupation</t>
  </si>
  <si>
    <t>Preschool Teachers</t>
  </si>
  <si>
    <t>Teaching Assistants</t>
  </si>
  <si>
    <t>Postsecondary Teachers</t>
  </si>
  <si>
    <t>Social and Human Service Assistants</t>
  </si>
  <si>
    <t>Managers</t>
  </si>
  <si>
    <t>Secondary School Teachers</t>
  </si>
  <si>
    <t>Elementary School Teachers</t>
  </si>
  <si>
    <t>Childcare Workers</t>
  </si>
  <si>
    <t>Secretaries and Admin. Assistants</t>
  </si>
  <si>
    <t>Customer Service Representatives</t>
  </si>
  <si>
    <t>Retail Salespersons</t>
  </si>
  <si>
    <t>Supervisors of Office and Admin. Support Occupations</t>
  </si>
  <si>
    <t>2D | Lead Teacher -- Employment and Wage Trends</t>
  </si>
  <si>
    <t>Lead Teacher, Employment Trends (2001-2022)</t>
  </si>
  <si>
    <t>United States</t>
  </si>
  <si>
    <t>Lead Teacher, Employment Growth (Indexed to 2001)</t>
  </si>
  <si>
    <t>Lead Teacher (Average of Infant-Toddler and Preschool), Growth in Median Hourly Earnings (2005-2022)</t>
  </si>
  <si>
    <t>Lead Teacher (Average of Infant-Toddler and Preschool), Median Hourly Wage Growth (Indexed to 2005)</t>
  </si>
  <si>
    <t xml:space="preserve">Michigan </t>
  </si>
  <si>
    <t>2F | Lead Teacher -- Real-time Demand</t>
  </si>
  <si>
    <t>Online Ads and Median Wages, Lead Teacher, Michigan</t>
  </si>
  <si>
    <t>Top Posting Employers, Lead Teacher, Michigan (Jan. 2022 - Jul. 2023)</t>
  </si>
  <si>
    <t>Date</t>
  </si>
  <si>
    <t>Job Postings</t>
  </si>
  <si>
    <t>Median Advertised Wage</t>
  </si>
  <si>
    <t>Employer</t>
  </si>
  <si>
    <t>Online Postings</t>
  </si>
  <si>
    <t>Median Posting Duration</t>
  </si>
  <si>
    <t>KinderCare</t>
  </si>
  <si>
    <t>35 days</t>
  </si>
  <si>
    <t>Learning Care Group</t>
  </si>
  <si>
    <t>38 days</t>
  </si>
  <si>
    <t>Bright Horizons</t>
  </si>
  <si>
    <t>39 days</t>
  </si>
  <si>
    <t>Childtime Learning Centers</t>
  </si>
  <si>
    <t>32 days</t>
  </si>
  <si>
    <t>Northeast Michigan Community Service Agency</t>
  </si>
  <si>
    <t>Knowledge Universe Education</t>
  </si>
  <si>
    <t>49 days</t>
  </si>
  <si>
    <t>The Goddard School</t>
  </si>
  <si>
    <t>34 days</t>
  </si>
  <si>
    <t>YMCA</t>
  </si>
  <si>
    <t>36 days</t>
  </si>
  <si>
    <t>Northwest Michigan Community Action Agency</t>
  </si>
  <si>
    <t>37 days</t>
  </si>
  <si>
    <t>Tutor Time Learning Centers</t>
  </si>
  <si>
    <t>2G | Lead Teacher -- Commuting Patterns</t>
  </si>
  <si>
    <t>Commuting Patterns, Lead Teachers, Michigan, 2022</t>
  </si>
  <si>
    <t>County</t>
  </si>
  <si>
    <t>Resident Workers</t>
  </si>
  <si>
    <t>Net Commuters</t>
  </si>
  <si>
    <t>Wayne</t>
  </si>
  <si>
    <t>Kent</t>
  </si>
  <si>
    <t>Washtenaw</t>
  </si>
  <si>
    <t>Oakland</t>
  </si>
  <si>
    <t>Ingham</t>
  </si>
  <si>
    <t>Mecosta</t>
  </si>
  <si>
    <t>Wexford</t>
  </si>
  <si>
    <t>Cheboygan</t>
  </si>
  <si>
    <t>Crawford</t>
  </si>
  <si>
    <t>Leelanau</t>
  </si>
  <si>
    <t>Calhoun</t>
  </si>
  <si>
    <t>Midland</t>
  </si>
  <si>
    <t>Iosco</t>
  </si>
  <si>
    <t>Gratiot</t>
  </si>
  <si>
    <t>Charlevoix</t>
  </si>
  <si>
    <t>Antrim</t>
  </si>
  <si>
    <t>Oscoda</t>
  </si>
  <si>
    <t>Huron</t>
  </si>
  <si>
    <t>Mackinac</t>
  </si>
  <si>
    <t>Van Buren</t>
  </si>
  <si>
    <t>Baraga</t>
  </si>
  <si>
    <t>Otsego</t>
  </si>
  <si>
    <t>Chippewa</t>
  </si>
  <si>
    <t>Schoolcraft</t>
  </si>
  <si>
    <t>Alcona</t>
  </si>
  <si>
    <t>Alger</t>
  </si>
  <si>
    <t>Iron</t>
  </si>
  <si>
    <t>Newaygo</t>
  </si>
  <si>
    <t>Ontonagon</t>
  </si>
  <si>
    <t>Dickinson</t>
  </si>
  <si>
    <t>Branch</t>
  </si>
  <si>
    <t>Menominee</t>
  </si>
  <si>
    <t>Benzie</t>
  </si>
  <si>
    <t>Ionia</t>
  </si>
  <si>
    <t>Houghton</t>
  </si>
  <si>
    <t>Lake</t>
  </si>
  <si>
    <t>Delta</t>
  </si>
  <si>
    <t>Montmorency</t>
  </si>
  <si>
    <t>Tuscola</t>
  </si>
  <si>
    <t>Gogebic</t>
  </si>
  <si>
    <t>Mason</t>
  </si>
  <si>
    <t>Saginaw</t>
  </si>
  <si>
    <t>St. Joseph</t>
  </si>
  <si>
    <t>Presque Isle</t>
  </si>
  <si>
    <t>Marquette</t>
  </si>
  <si>
    <t>Arenac</t>
  </si>
  <si>
    <t>Osceola</t>
  </si>
  <si>
    <t>Kalamazoo</t>
  </si>
  <si>
    <t>Ogemaw</t>
  </si>
  <si>
    <t>Roscommon</t>
  </si>
  <si>
    <t>Alpena</t>
  </si>
  <si>
    <t>Allegan</t>
  </si>
  <si>
    <t>Sanilac</t>
  </si>
  <si>
    <t>Isabella</t>
  </si>
  <si>
    <t>Emmet</t>
  </si>
  <si>
    <t>Clare</t>
  </si>
  <si>
    <t>Shiawassee</t>
  </si>
  <si>
    <t>Manistee</t>
  </si>
  <si>
    <t>Gladwin</t>
  </si>
  <si>
    <t>Oceana</t>
  </si>
  <si>
    <t>Cass</t>
  </si>
  <si>
    <t>Bay</t>
  </si>
  <si>
    <t>Barry</t>
  </si>
  <si>
    <t>Grand Traverse</t>
  </si>
  <si>
    <t>Lapeer</t>
  </si>
  <si>
    <t>Livingston</t>
  </si>
  <si>
    <t>Montcalm</t>
  </si>
  <si>
    <t>Muskegon</t>
  </si>
  <si>
    <t>Berrien</t>
  </si>
  <si>
    <t>Hillsdale</t>
  </si>
  <si>
    <t>Eaton</t>
  </si>
  <si>
    <t>Jackson</t>
  </si>
  <si>
    <t>Clinton</t>
  </si>
  <si>
    <t>Lenawee</t>
  </si>
  <si>
    <t>Monroe</t>
  </si>
  <si>
    <t>Genesee</t>
  </si>
  <si>
    <t>St. Clair</t>
  </si>
  <si>
    <t>Ottawa</t>
  </si>
  <si>
    <t>Macomb</t>
  </si>
  <si>
    <t>3A | Assistant Teacher -- Proposed Wage Scaling</t>
  </si>
  <si>
    <t>Proposed Pay Scale for Assistant Teacher, Infant-Toddler</t>
  </si>
  <si>
    <t>Proposed Pay Scale for Assistant Teacher, Preschool</t>
  </si>
  <si>
    <t>3B | Assistant Teacher -- Workforce Demographics</t>
  </si>
  <si>
    <t>3C | Assistant Teacher -- Top Comparable Occupations</t>
  </si>
  <si>
    <t>Top Comparable Roles, Assistant Teacher</t>
  </si>
  <si>
    <t xml:space="preserve">Difference from Assistant Teacher Wage            </t>
  </si>
  <si>
    <t>Assistant Teacher</t>
  </si>
  <si>
    <t>Tutor</t>
  </si>
  <si>
    <t>Administrative Assistant</t>
  </si>
  <si>
    <t>Customer Service Representative</t>
  </si>
  <si>
    <t>Assistant Teacher, Employment Trends, Michigan (2001-2022)</t>
  </si>
  <si>
    <t>Assistant Teacher, Employment Growth, Michigan (Indexed to 2001)</t>
  </si>
  <si>
    <t>Assistant Teacher, Growth in Median Hourly Earnings, Michigan (2005-2022)</t>
  </si>
  <si>
    <t>Assistant Teacher, Median Hourly Wage Growth, Michigan (Indexed to 2005)</t>
  </si>
  <si>
    <t>3D | Assistant Teacher -- Employment and Wage Trends</t>
  </si>
  <si>
    <t>Assistant Teacher, Employment Trends (2001-2022)</t>
  </si>
  <si>
    <t>Assistant Teacher, Employment Growth (Indexed to 2001)</t>
  </si>
  <si>
    <t>Assistant Teacher, Growth in Median Hourly Earnings (2005-2022)</t>
  </si>
  <si>
    <t>Assistant Teacher, Median Hourly Wage Growth (Indexed to 2005)</t>
  </si>
  <si>
    <t>3E | Assistant Teacher -- Occupation Flows</t>
  </si>
  <si>
    <t>Top Preceeding and Superseding Occupations, Michigan</t>
  </si>
  <si>
    <t>Life, Physical, and Social Science Technicians</t>
  </si>
  <si>
    <t>Software Developers</t>
  </si>
  <si>
    <t>Teaching Assistants, Postsecondary</t>
  </si>
  <si>
    <t>Substitute Teachers, Short-Term</t>
  </si>
  <si>
    <t>3F | Assistant Teacher -- Real-time Demand</t>
  </si>
  <si>
    <t>Online Ads and Median Wages, Assistant Teacher, Michigan</t>
  </si>
  <si>
    <t>Top Posting Employers, Assistant Teacher, Michigan (Jan. 2022 - Jul. 2023)</t>
  </si>
  <si>
    <t>National Heritage Academies</t>
  </si>
  <si>
    <t>31 days</t>
  </si>
  <si>
    <t>33 days</t>
  </si>
  <si>
    <t>University of Michigan</t>
  </si>
  <si>
    <t>27 days</t>
  </si>
  <si>
    <t>Kent ISD</t>
  </si>
  <si>
    <t>Chippewa Valley Schools</t>
  </si>
  <si>
    <t>25 days</t>
  </si>
  <si>
    <t>30 days</t>
  </si>
  <si>
    <t>Michigan Association of School Boards</t>
  </si>
  <si>
    <t>Dean and Company</t>
  </si>
  <si>
    <t>N/A</t>
  </si>
  <si>
    <t>3G | Assistant Teacher -- Commuting Patterns</t>
  </si>
  <si>
    <t>Commuting Patterns, Assistant Teachers, Michigan, 2022</t>
  </si>
  <si>
    <t>4A | Aide/Floater -- Proposed Wage Scaling</t>
  </si>
  <si>
    <t>Aide/Floater, Infant-Toddler</t>
  </si>
  <si>
    <t>Proposed Pay Scale for Aide/Floater, Infant-Toddler</t>
  </si>
  <si>
    <t>Proposed Pay Scale for Aide/Floater, Preschool</t>
  </si>
  <si>
    <t>4B | Aide/Floater -- Workforce Demographics</t>
  </si>
  <si>
    <t>4C | Aide/Floater -- Top Comparable Occupations</t>
  </si>
  <si>
    <t>Top Comparable Roles, Aide/Floater</t>
  </si>
  <si>
    <t xml:space="preserve">Difference from Aide/Floater Wage            </t>
  </si>
  <si>
    <t>Aide/Floater</t>
  </si>
  <si>
    <t>Home Health and Personal Care Aide</t>
  </si>
  <si>
    <t>Library Assistant</t>
  </si>
  <si>
    <t>Waiter/Waitress</t>
  </si>
  <si>
    <t>Library Technician</t>
  </si>
  <si>
    <t>Aide/Floater, Employment Trends, Michigan (2001-2022)</t>
  </si>
  <si>
    <t>Aide/Floater, Employment Growth, Michigan (Indexed to 2001)</t>
  </si>
  <si>
    <t>Aide/Floater, Growth in Median Hourly Earnings, Michigan (2005-2022)</t>
  </si>
  <si>
    <t>Aide/Floater, Median Hourly Wage Growth, Michigan (Indexed to 2005)</t>
  </si>
  <si>
    <t>4D | Aide/Floater -- Employment and Wage Trends</t>
  </si>
  <si>
    <t>Aide/Floater, Employment Trends (2001-2022)</t>
  </si>
  <si>
    <t>Aide/Floater, Employment Growth (Indexed to 2001)</t>
  </si>
  <si>
    <t>Aide/Floater, Growth in Median Hourly Earnings (2005-2022)</t>
  </si>
  <si>
    <t>Aide/Floater, Median Hourly Wage Growth (Indexed to 2005)</t>
  </si>
  <si>
    <t>4E | Aide/Floater -- Occupation Flows</t>
  </si>
  <si>
    <t>Waiters and Waitresses</t>
  </si>
  <si>
    <t>Teaching Assistants, Except Postsecondary</t>
  </si>
  <si>
    <t>Recreation Workers</t>
  </si>
  <si>
    <t>Cashiers</t>
  </si>
  <si>
    <t>Registered Nurses</t>
  </si>
  <si>
    <t>Fast Food and Counter Workers</t>
  </si>
  <si>
    <t>4F | Aide/Floater -- Real-time Demand</t>
  </si>
  <si>
    <t>Online Ads and Median Wages, Aide/Floater, Michigan</t>
  </si>
  <si>
    <t>Top Posting Employers, Aide/Floater, Michigan (Jan. 2022 - Jul. 2023)</t>
  </si>
  <si>
    <t>Care Group</t>
  </si>
  <si>
    <t>26 days</t>
  </si>
  <si>
    <t>Sittercity</t>
  </si>
  <si>
    <t>Petsitter</t>
  </si>
  <si>
    <t>Safe-At-Home</t>
  </si>
  <si>
    <t>Rover</t>
  </si>
  <si>
    <t>54 days</t>
  </si>
  <si>
    <t>Sitter</t>
  </si>
  <si>
    <t>22 days</t>
  </si>
  <si>
    <t>4G | Aide/Floater -- Commuting Patterns</t>
  </si>
  <si>
    <t>Commuting Patterns, Aide/Floater, Michigan, 2022</t>
  </si>
  <si>
    <t>Missaukee</t>
  </si>
  <si>
    <t>Kalkaska</t>
  </si>
  <si>
    <t>5A | Substitute -- Proposed Wage Scaling</t>
  </si>
  <si>
    <t xml:space="preserve">- </t>
  </si>
  <si>
    <t>Proposed Pay Scale for Substitute, Infant-Toddler</t>
  </si>
  <si>
    <t>Proposed Pay Scale for Substitute, Preschool</t>
  </si>
  <si>
    <t>5B | Substitute -- Workforce Demographics</t>
  </si>
  <si>
    <t>5C | Substitute -- Top Comparable Occupations</t>
  </si>
  <si>
    <t>Top Comparable Roles, Substitute</t>
  </si>
  <si>
    <t xml:space="preserve">Difference from Substitute Wage            </t>
  </si>
  <si>
    <t>Substitute</t>
  </si>
  <si>
    <t>Substitute, Employment Trends, Michigan (2001-2022)</t>
  </si>
  <si>
    <t>Substitute, Employment Growth, Michigan (Indexed to 2001)</t>
  </si>
  <si>
    <t>Substitute, Growth in Median Hourly Earnings, Michigan (2005-2022)</t>
  </si>
  <si>
    <t>Substitute, Median Hourly Wage Growth, Michigan (Indexed to 2005)</t>
  </si>
  <si>
    <t>5D | Substitute -- Employment and Wage Trends</t>
  </si>
  <si>
    <t>Substitute, Employment Trends (2001-2022)</t>
  </si>
  <si>
    <t>Substitute, Employment Growth (Indexed to 2001)</t>
  </si>
  <si>
    <t>Substitute, Growth in Median Hourly Earnings (2005-2022)</t>
  </si>
  <si>
    <t>Substitute, Median Hourly Wage Growth (Indexed to 2005)</t>
  </si>
  <si>
    <t>5E | Substitute -- Occupation Flows</t>
  </si>
  <si>
    <t>Teachers and Instructors</t>
  </si>
  <si>
    <t>Coaches and Scouts</t>
  </si>
  <si>
    <t>Middle School Teachers</t>
  </si>
  <si>
    <t xml:space="preserve">  </t>
  </si>
  <si>
    <t>5F | Substitute -- Real-time Demand</t>
  </si>
  <si>
    <t>Online Ads and Median Wages, Substitute, Michigan</t>
  </si>
  <si>
    <t>Top Posting Employers, Substitute, Michigan (Jan. 2022 - Jul. 2023)</t>
  </si>
  <si>
    <t>23 days</t>
  </si>
  <si>
    <t>Sub Teacher Source Texas</t>
  </si>
  <si>
    <t>Catholic Diocese of Lansing</t>
  </si>
  <si>
    <t>4 days</t>
  </si>
  <si>
    <t>Ece Subhub</t>
  </si>
  <si>
    <t>Ess</t>
  </si>
  <si>
    <t>51 days</t>
  </si>
  <si>
    <t>Archdiocese of Detroit</t>
  </si>
  <si>
    <t>14 days</t>
  </si>
  <si>
    <t>Edustaff</t>
  </si>
  <si>
    <t>Ess Midwest</t>
  </si>
  <si>
    <t>Choice Schools.Com</t>
  </si>
  <si>
    <t>42 days</t>
  </si>
  <si>
    <t>Superior Employment Services</t>
  </si>
  <si>
    <t>24 days</t>
  </si>
  <si>
    <t>5G | Substitute -- Commuting Patterns</t>
  </si>
  <si>
    <t>Commuting Patterns, Substitute, Michigan,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</si>
</sst>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Red]\ \(#,##0\)"/>
    <numFmt numFmtId="166" formatCode="0.0%"/>
    <numFmt numFmtId="167" formatCode="0.0%;[Red]\ \(0.0%\)"/>
    <numFmt numFmtId="168" formatCode="&quot;$&quot;#,##0"/>
  </numFmts>
  <fonts count="40" x14ac:knownFonts="1">
    <font>
      <sz val="11"/>
      <color theme="1"/>
      <name val="Calibri"/>
      <family val="2"/>
      <scheme val="minor"/>
    </font>
    <font>
      <sz val="11"/>
      <color theme="1"/>
      <name val="Calibri"/>
      <family val="2"/>
      <scheme val="minor"/>
    </font>
    <font>
      <b/>
      <sz val="18"/>
      <color theme="0"/>
      <name val="Arial"/>
      <family val="2"/>
    </font>
    <font>
      <sz val="11"/>
      <color theme="1"/>
      <name val="Arial"/>
      <family val="2"/>
    </font>
    <font>
      <u/>
      <sz val="11"/>
      <color theme="10"/>
      <name val="Calibri"/>
      <family val="2"/>
      <scheme val="minor"/>
    </font>
    <font>
      <b/>
      <sz val="16"/>
      <color theme="0"/>
      <name val="Arial"/>
      <family val="2"/>
    </font>
    <font>
      <i/>
      <sz val="11"/>
      <color theme="0" tint="-0.249977111117893"/>
      <name val="Arial"/>
      <family val="2"/>
    </font>
    <font>
      <sz val="11"/>
      <color theme="5" tint="0.59999389629810485"/>
      <name val="Arial"/>
      <family val="2"/>
    </font>
    <font>
      <u/>
      <sz val="11"/>
      <color theme="10"/>
      <name val="Arial"/>
      <family val="2"/>
    </font>
    <font>
      <sz val="11"/>
      <color theme="0"/>
      <name val="Arial"/>
      <family val="2"/>
    </font>
    <font>
      <b/>
      <sz val="14"/>
      <color rgb="FFD45D00"/>
      <name val="Arial"/>
      <family val="2"/>
    </font>
    <font>
      <b/>
      <sz val="11"/>
      <color theme="0"/>
      <name val="Arial"/>
      <family val="2"/>
    </font>
    <font>
      <sz val="10"/>
      <color theme="1"/>
      <name val="Arial"/>
      <family val="2"/>
    </font>
    <font>
      <b/>
      <u/>
      <sz val="11"/>
      <color rgb="FFD45D00"/>
      <name val="Arial"/>
      <family val="2"/>
    </font>
    <font>
      <b/>
      <sz val="14"/>
      <color rgb="FFD45D00"/>
      <name val="Calibri"/>
      <family val="2"/>
      <scheme val="minor"/>
    </font>
    <font>
      <b/>
      <sz val="12"/>
      <color rgb="FFD45D00"/>
      <name val="Arial"/>
      <family val="2"/>
    </font>
    <font>
      <sz val="10"/>
      <color theme="0"/>
      <name val="Arial"/>
      <family val="2"/>
    </font>
    <font>
      <b/>
      <sz val="11"/>
      <color rgb="FFD45D00"/>
      <name val="Arial"/>
      <family val="2"/>
    </font>
    <font>
      <i/>
      <sz val="11"/>
      <color theme="1"/>
      <name val="Arial"/>
      <family val="2"/>
    </font>
    <font>
      <b/>
      <i/>
      <sz val="11"/>
      <color theme="1"/>
      <name val="Arial"/>
      <family val="2"/>
    </font>
    <font>
      <b/>
      <sz val="11"/>
      <name val="Arial"/>
      <family val="2"/>
    </font>
    <font>
      <b/>
      <sz val="11"/>
      <color theme="1"/>
      <name val="Arial"/>
      <family val="2"/>
    </font>
    <font>
      <b/>
      <sz val="10"/>
      <name val="Arial"/>
      <family val="2"/>
    </font>
    <font>
      <sz val="10"/>
      <name val="Arial"/>
      <family val="2"/>
    </font>
    <font>
      <b/>
      <sz val="11"/>
      <color rgb="FFFFFFFF"/>
      <name val="Arial"/>
      <family val="2"/>
    </font>
    <font>
      <i/>
      <sz val="11"/>
      <color rgb="FFFFFFFF"/>
      <name val="Arial"/>
      <family val="2"/>
    </font>
    <font>
      <b/>
      <sz val="9"/>
      <color rgb="FFFFFFFF"/>
      <name val="Arial"/>
      <family val="2"/>
    </font>
    <font>
      <b/>
      <sz val="14"/>
      <color rgb="FF346C88"/>
      <name val="Arial"/>
      <family val="2"/>
    </font>
    <font>
      <b/>
      <u/>
      <sz val="11"/>
      <color theme="2" tint="-0.749992370372631"/>
      <name val="Arial"/>
      <family val="2"/>
    </font>
    <font>
      <b/>
      <sz val="11"/>
      <color rgb="FF000000"/>
      <name val="Arial"/>
      <family val="2"/>
    </font>
    <font>
      <sz val="11"/>
      <color rgb="FF000000"/>
      <name val="Arial"/>
      <family val="2"/>
    </font>
    <font>
      <u/>
      <sz val="11"/>
      <color theme="1"/>
      <name val="Arial"/>
      <family val="2"/>
    </font>
    <font>
      <b/>
      <i/>
      <sz val="11"/>
      <color rgb="FF000000"/>
      <name val="Arial"/>
      <family val="2"/>
    </font>
    <font>
      <sz val="11"/>
      <name val="Arial"/>
      <family val="2"/>
    </font>
    <font>
      <sz val="11"/>
      <color rgb="FFFFFFFF"/>
      <name val="Arial"/>
      <family val="2"/>
    </font>
    <font>
      <b/>
      <i/>
      <sz val="9"/>
      <color rgb="FFFFFFFF"/>
      <name val="Arial"/>
      <family val="2"/>
    </font>
    <font>
      <b/>
      <sz val="10"/>
      <color theme="0"/>
      <name val="Arial"/>
      <family val="2"/>
    </font>
    <font>
      <b/>
      <sz val="16"/>
      <color theme="1"/>
      <name val="Arial"/>
      <family val="2"/>
    </font>
    <font>
      <sz val="11"/>
      <color rgb="FFC00000"/>
      <name val="Arial"/>
      <family val="2"/>
    </font>
    <font>
      <b/>
      <sz val="10"/>
      <color theme="1"/>
      <name val="Arial"/>
      <family val="2"/>
    </font>
  </fonts>
  <fills count="22">
    <fill>
      <patternFill patternType="none"/>
    </fill>
    <fill>
      <patternFill patternType="gray125"/>
    </fill>
    <fill>
      <patternFill patternType="solid">
        <fgColor rgb="FF003E5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A2AE74"/>
        <bgColor indexed="64"/>
      </patternFill>
    </fill>
    <fill>
      <patternFill patternType="solid">
        <fgColor rgb="FF605677"/>
        <bgColor indexed="64"/>
      </patternFill>
    </fill>
    <fill>
      <patternFill patternType="solid">
        <fgColor theme="5" tint="0.79998168889431442"/>
        <bgColor indexed="64"/>
      </patternFill>
    </fill>
    <fill>
      <patternFill patternType="solid">
        <fgColor rgb="FFDAEEF3"/>
        <bgColor indexed="64"/>
      </patternFill>
    </fill>
    <fill>
      <patternFill patternType="solid">
        <fgColor rgb="FFB4C6E7"/>
        <bgColor indexed="64"/>
      </patternFill>
    </fill>
    <fill>
      <patternFill patternType="solid">
        <fgColor theme="0"/>
        <bgColor indexed="64"/>
      </patternFill>
    </fill>
    <fill>
      <patternFill patternType="solid">
        <fgColor theme="9" tint="0.79998168889431442"/>
        <bgColor indexed="64"/>
      </patternFill>
    </fill>
    <fill>
      <patternFill patternType="solid">
        <fgColor rgb="FF006595"/>
        <bgColor indexed="64"/>
      </patternFill>
    </fill>
    <fill>
      <patternFill patternType="solid">
        <fgColor theme="1"/>
        <bgColor indexed="64"/>
      </patternFill>
    </fill>
    <fill>
      <patternFill patternType="solid">
        <fgColor theme="4" tint="0.39997558519241921"/>
        <bgColor indexed="64"/>
      </patternFill>
    </fill>
    <fill>
      <patternFill patternType="solid">
        <fgColor rgb="FF204354"/>
        <bgColor indexed="64"/>
      </patternFill>
    </fill>
    <fill>
      <patternFill patternType="solid">
        <fgColor rgb="FF346C88"/>
        <bgColor indexed="64"/>
      </patternFill>
    </fill>
    <fill>
      <patternFill patternType="solid">
        <fgColor rgb="FFFFFF00"/>
        <bgColor indexed="64"/>
      </patternFill>
    </fill>
    <fill>
      <patternFill patternType="solid">
        <fgColor theme="4" tint="0.79998168889431442"/>
        <bgColor indexed="64"/>
      </patternFill>
    </fill>
    <fill>
      <patternFill patternType="solid">
        <fgColor rgb="FF5E82A3"/>
        <bgColor indexed="64"/>
      </patternFill>
    </fill>
    <fill>
      <patternFill patternType="solid">
        <fgColor rgb="FF609191"/>
        <bgColor indexed="64"/>
      </patternFill>
    </fill>
    <fill>
      <patternFill patternType="solid">
        <fgColor theme="4" tint="0.59999389629810485"/>
        <bgColor indexed="64"/>
      </patternFill>
    </fill>
  </fills>
  <borders count="80">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rgb="FF006595"/>
      </left>
      <right style="dotted">
        <color rgb="FFFFFFFF"/>
      </right>
      <top style="medium">
        <color rgb="FF006595"/>
      </top>
      <bottom style="medium">
        <color rgb="FF006595"/>
      </bottom>
      <diagonal/>
    </border>
    <border>
      <left/>
      <right style="dotted">
        <color rgb="FFFFFFFF"/>
      </right>
      <top style="medium">
        <color rgb="FF006595"/>
      </top>
      <bottom style="medium">
        <color rgb="FF006595"/>
      </bottom>
      <diagonal/>
    </border>
    <border>
      <left/>
      <right style="medium">
        <color rgb="FF006595"/>
      </right>
      <top style="medium">
        <color rgb="FF006595"/>
      </top>
      <bottom style="medium">
        <color rgb="FF006595"/>
      </bottom>
      <diagonal/>
    </border>
    <border>
      <left style="medium">
        <color rgb="FF006595"/>
      </left>
      <right style="medium">
        <color rgb="FF006595"/>
      </right>
      <top/>
      <bottom style="medium">
        <color rgb="FF006595"/>
      </bottom>
      <diagonal/>
    </border>
    <border>
      <left/>
      <right style="medium">
        <color rgb="FF006595"/>
      </right>
      <top/>
      <bottom style="medium">
        <color rgb="FF006595"/>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rgb="FFA2AE74"/>
      </right>
      <top/>
      <bottom style="thin">
        <color rgb="FFA2AE74"/>
      </bottom>
      <diagonal/>
    </border>
    <border>
      <left/>
      <right/>
      <top/>
      <bottom style="thin">
        <color rgb="FFA2AE74"/>
      </bottom>
      <diagonal/>
    </border>
    <border>
      <left/>
      <right style="medium">
        <color rgb="FFA2AE74"/>
      </right>
      <top style="thin">
        <color rgb="FFA2AE74"/>
      </top>
      <bottom style="thin">
        <color rgb="FFA2AE74"/>
      </bottom>
      <diagonal/>
    </border>
    <border>
      <left/>
      <right/>
      <top style="thin">
        <color rgb="FFA2AE74"/>
      </top>
      <bottom style="thin">
        <color rgb="FFA2AE7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s>
  <cellStyleXfs count="5">
    <xf numFmtId="0" fontId="0" fillId="0" borderId="0"/>
    <xf numFmtId="44"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31">
    <xf numFmtId="0" fontId="0" fillId="0" borderId="0" xfId="0"/>
    <xf numFmtId="0" fontId="3" fillId="0" borderId="0" xfId="0" applyFont="1"/>
    <xf numFmtId="0" fontId="3" fillId="3" borderId="0" xfId="0" applyFont="1" applyFill="1" applyAlignment="1">
      <alignment horizontal="center"/>
    </xf>
    <xf numFmtId="0" fontId="8" fillId="0" borderId="0" xfId="2" applyFont="1"/>
    <xf numFmtId="0" fontId="3" fillId="4" borderId="0" xfId="0" applyFont="1" applyFill="1"/>
    <xf numFmtId="0" fontId="3" fillId="4" borderId="0" xfId="0" applyFont="1" applyFill="1" applyAlignment="1">
      <alignment horizontal="center"/>
    </xf>
    <xf numFmtId="0" fontId="8" fillId="0" borderId="0" xfId="2" applyFont="1" applyAlignment="1">
      <alignment vertical="center"/>
    </xf>
    <xf numFmtId="0" fontId="3" fillId="5" borderId="0" xfId="0" applyFont="1" applyFill="1" applyAlignment="1">
      <alignment horizontal="center" vertic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0" fillId="0" borderId="0" xfId="0" applyAlignment="1">
      <alignment wrapText="1"/>
    </xf>
    <xf numFmtId="0" fontId="0" fillId="13" borderId="0" xfId="0" applyFill="1"/>
    <xf numFmtId="0" fontId="0" fillId="0" borderId="0" xfId="0" applyAlignment="1">
      <alignment horizontal="center"/>
    </xf>
    <xf numFmtId="0" fontId="2" fillId="0" borderId="0" xfId="0" applyFont="1" applyAlignment="1">
      <alignment horizontal="center"/>
    </xf>
    <xf numFmtId="0" fontId="10" fillId="0" borderId="0" xfId="0" applyFont="1"/>
    <xf numFmtId="0" fontId="13" fillId="0" borderId="0" xfId="0" applyFont="1"/>
    <xf numFmtId="0" fontId="11" fillId="2" borderId="0" xfId="0" applyFont="1" applyFill="1" applyAlignment="1" applyProtection="1">
      <alignment horizontal="center" vertical="center" wrapText="1"/>
      <protection locked="0"/>
    </xf>
    <xf numFmtId="0" fontId="3" fillId="7" borderId="49" xfId="0" applyFont="1" applyFill="1" applyBorder="1" applyAlignment="1" applyProtection="1">
      <alignment horizontal="center" vertical="center"/>
      <protection locked="0"/>
    </xf>
    <xf numFmtId="165" fontId="3" fillId="0" borderId="50" xfId="0" applyNumberFormat="1" applyFont="1" applyBorder="1" applyAlignment="1" applyProtection="1">
      <alignment horizontal="center" vertical="center"/>
      <protection locked="0"/>
    </xf>
    <xf numFmtId="167" fontId="3" fillId="0" borderId="50" xfId="0" applyNumberFormat="1" applyFont="1" applyBorder="1" applyAlignment="1" applyProtection="1">
      <alignment horizontal="center" vertical="center"/>
      <protection locked="0"/>
    </xf>
    <xf numFmtId="0" fontId="3" fillId="7" borderId="51" xfId="0" applyFont="1" applyFill="1" applyBorder="1" applyAlignment="1" applyProtection="1">
      <alignment horizontal="center" vertical="center"/>
      <protection locked="0"/>
    </xf>
    <xf numFmtId="165" fontId="3" fillId="0" borderId="52" xfId="0" applyNumberFormat="1" applyFont="1" applyBorder="1" applyAlignment="1" applyProtection="1">
      <alignment horizontal="center" vertical="center"/>
      <protection locked="0"/>
    </xf>
    <xf numFmtId="167" fontId="3" fillId="0" borderId="52" xfId="0" applyNumberFormat="1" applyFont="1" applyBorder="1" applyAlignment="1" applyProtection="1">
      <alignment horizontal="center" vertical="center"/>
      <protection locked="0"/>
    </xf>
    <xf numFmtId="0" fontId="3" fillId="7" borderId="49" xfId="0" applyFont="1" applyFill="1" applyBorder="1" applyAlignment="1" applyProtection="1">
      <alignment horizontal="left" vertical="center"/>
      <protection locked="0"/>
    </xf>
    <xf numFmtId="0" fontId="3" fillId="7" borderId="51" xfId="0" applyFont="1" applyFill="1" applyBorder="1" applyAlignment="1" applyProtection="1">
      <alignment horizontal="left" vertical="center"/>
      <protection locked="0"/>
    </xf>
    <xf numFmtId="0" fontId="11" fillId="2" borderId="0" xfId="0" applyFont="1" applyFill="1" applyAlignment="1" applyProtection="1">
      <alignment horizontal="left" vertical="center" wrapText="1"/>
      <protection locked="0"/>
    </xf>
    <xf numFmtId="0" fontId="3" fillId="20" borderId="0" xfId="0" applyFont="1" applyFill="1" applyAlignment="1">
      <alignment horizontal="center" vertical="center"/>
    </xf>
    <xf numFmtId="0" fontId="3" fillId="19" borderId="0" xfId="0" applyFont="1" applyFill="1" applyAlignment="1">
      <alignment horizontal="center" vertical="center"/>
    </xf>
    <xf numFmtId="0" fontId="15" fillId="0" borderId="0" xfId="0" applyFont="1"/>
    <xf numFmtId="0" fontId="3" fillId="6" borderId="0" xfId="0" applyFont="1" applyFill="1" applyAlignment="1">
      <alignment horizontal="center" vertical="center"/>
    </xf>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15" fillId="0" borderId="0" xfId="0" applyFont="1" applyAlignment="1" applyProtection="1">
      <alignment vertical="center"/>
      <protection locked="0"/>
    </xf>
    <xf numFmtId="9" fontId="3" fillId="0" borderId="0" xfId="3" applyFont="1"/>
    <xf numFmtId="44" fontId="3" fillId="0" borderId="0" xfId="1" applyFont="1"/>
    <xf numFmtId="0" fontId="9" fillId="2" borderId="0" xfId="0" applyFont="1" applyFill="1" applyAlignment="1">
      <alignment horizontal="center" vertical="center" wrapText="1"/>
    </xf>
    <xf numFmtId="14" fontId="18" fillId="0" borderId="0" xfId="0" applyNumberFormat="1" applyFont="1"/>
    <xf numFmtId="0" fontId="3" fillId="0" borderId="0" xfId="0" applyFont="1" applyAlignment="1">
      <alignment horizontal="center"/>
    </xf>
    <xf numFmtId="0" fontId="3" fillId="0" borderId="0" xfId="0" applyFont="1" applyAlignment="1">
      <alignment wrapText="1"/>
    </xf>
    <xf numFmtId="0" fontId="21" fillId="19" borderId="2" xfId="0" applyFont="1" applyFill="1" applyBorder="1" applyAlignment="1">
      <alignment horizontal="center"/>
    </xf>
    <xf numFmtId="0" fontId="21" fillId="19" borderId="18" xfId="0" applyFont="1" applyFill="1" applyBorder="1" applyAlignment="1">
      <alignment horizontal="center"/>
    </xf>
    <xf numFmtId="0" fontId="21" fillId="19" borderId="3" xfId="0" applyFont="1" applyFill="1" applyBorder="1" applyAlignment="1">
      <alignment horizontal="center"/>
    </xf>
    <xf numFmtId="0" fontId="21" fillId="0" borderId="0" xfId="0" applyFont="1"/>
    <xf numFmtId="0" fontId="26" fillId="2" borderId="69" xfId="0" applyFont="1" applyFill="1" applyBorder="1" applyAlignment="1">
      <alignment horizontal="center" vertical="center" wrapText="1"/>
    </xf>
    <xf numFmtId="164" fontId="3" fillId="0" borderId="0" xfId="0" applyNumberFormat="1" applyFont="1"/>
    <xf numFmtId="0" fontId="3" fillId="7" borderId="24" xfId="0" applyFont="1" applyFill="1" applyBorder="1" applyAlignment="1">
      <alignment vertical="center"/>
    </xf>
    <xf numFmtId="8" fontId="3" fillId="0" borderId="28" xfId="0" applyNumberFormat="1" applyFont="1" applyBorder="1" applyAlignment="1">
      <alignment horizontal="center" vertical="center"/>
    </xf>
    <xf numFmtId="6" fontId="3" fillId="0" borderId="41" xfId="0" applyNumberFormat="1" applyFont="1" applyBorder="1" applyAlignment="1">
      <alignment horizontal="center" vertical="center"/>
    </xf>
    <xf numFmtId="164" fontId="3" fillId="0" borderId="28" xfId="1" applyNumberFormat="1" applyFont="1" applyBorder="1" applyAlignment="1">
      <alignment horizontal="center" vertical="center"/>
    </xf>
    <xf numFmtId="164" fontId="3" fillId="0" borderId="28" xfId="1" quotePrefix="1" applyNumberFormat="1" applyFont="1" applyBorder="1" applyAlignment="1">
      <alignment horizontal="center" vertical="center"/>
    </xf>
    <xf numFmtId="164" fontId="3" fillId="0" borderId="40" xfId="1" quotePrefix="1" applyNumberFormat="1" applyFont="1" applyBorder="1" applyAlignment="1">
      <alignment horizontal="center" vertical="center"/>
    </xf>
    <xf numFmtId="164" fontId="3" fillId="0" borderId="40" xfId="1" applyNumberFormat="1" applyFont="1" applyBorder="1" applyAlignment="1">
      <alignment horizontal="center" vertical="center"/>
    </xf>
    <xf numFmtId="164" fontId="3" fillId="0" borderId="40" xfId="1" applyNumberFormat="1" applyFont="1" applyFill="1" applyBorder="1" applyAlignment="1">
      <alignment horizontal="center" vertical="center"/>
    </xf>
    <xf numFmtId="164" fontId="3" fillId="21" borderId="6" xfId="1" applyNumberFormat="1" applyFont="1" applyFill="1" applyBorder="1" applyAlignment="1">
      <alignment horizontal="center" vertical="center"/>
    </xf>
    <xf numFmtId="0" fontId="3" fillId="7" borderId="24" xfId="0" applyFont="1" applyFill="1" applyBorder="1"/>
    <xf numFmtId="7" fontId="3" fillId="0" borderId="27" xfId="1" applyNumberFormat="1" applyFont="1" applyBorder="1" applyAlignment="1">
      <alignment horizontal="center" vertical="center"/>
    </xf>
    <xf numFmtId="5" fontId="3" fillId="0" borderId="24" xfId="1" applyNumberFormat="1" applyFont="1" applyBorder="1" applyAlignment="1">
      <alignment horizontal="center" vertical="center"/>
    </xf>
    <xf numFmtId="164" fontId="3" fillId="0" borderId="27" xfId="1" applyNumberFormat="1" applyFont="1" applyBorder="1" applyAlignment="1">
      <alignment horizontal="center" vertical="center"/>
    </xf>
    <xf numFmtId="164" fontId="3" fillId="0" borderId="6" xfId="1" applyNumberFormat="1" applyFont="1" applyBorder="1" applyAlignment="1">
      <alignment horizontal="center" vertical="center"/>
    </xf>
    <xf numFmtId="164" fontId="3" fillId="0" borderId="6" xfId="0" applyNumberFormat="1" applyFont="1" applyBorder="1" applyAlignment="1">
      <alignment horizontal="center" vertical="center"/>
    </xf>
    <xf numFmtId="164" fontId="3" fillId="0" borderId="6" xfId="0" applyNumberFormat="1" applyFont="1" applyBorder="1" applyAlignment="1">
      <alignment horizontal="center" vertical="center" wrapText="1"/>
    </xf>
    <xf numFmtId="44" fontId="21" fillId="0" borderId="0" xfId="1" applyFont="1" applyFill="1" applyBorder="1" applyAlignment="1">
      <alignment horizontal="center"/>
    </xf>
    <xf numFmtId="0" fontId="24" fillId="0" borderId="0" xfId="0" applyFont="1" applyAlignment="1">
      <alignment horizontal="center" vertical="center"/>
    </xf>
    <xf numFmtId="44" fontId="3" fillId="0" borderId="47" xfId="1" applyFont="1" applyBorder="1" applyAlignment="1">
      <alignment horizontal="center" vertical="center"/>
    </xf>
    <xf numFmtId="44" fontId="3" fillId="0" borderId="48" xfId="1" applyFont="1" applyBorder="1" applyAlignment="1">
      <alignment horizontal="center" vertical="center"/>
    </xf>
    <xf numFmtId="44" fontId="3" fillId="0" borderId="47" xfId="1" applyFont="1" applyBorder="1" applyAlignment="1">
      <alignment horizontal="center"/>
    </xf>
    <xf numFmtId="44" fontId="3" fillId="0" borderId="48" xfId="1" applyFont="1" applyBorder="1" applyAlignment="1">
      <alignment horizontal="center"/>
    </xf>
    <xf numFmtId="44" fontId="3" fillId="0" borderId="5" xfId="1" applyFont="1" applyBorder="1" applyAlignment="1">
      <alignment horizontal="center"/>
    </xf>
    <xf numFmtId="44" fontId="3" fillId="0" borderId="5" xfId="1" applyFont="1" applyBorder="1" applyAlignment="1">
      <alignment horizontal="center" vertical="center"/>
    </xf>
    <xf numFmtId="44" fontId="3" fillId="0" borderId="0" xfId="1" applyFont="1" applyFill="1" applyBorder="1" applyAlignment="1">
      <alignment horizontal="center" vertical="center"/>
    </xf>
    <xf numFmtId="0" fontId="3" fillId="7" borderId="56" xfId="0" applyFont="1" applyFill="1" applyBorder="1"/>
    <xf numFmtId="164" fontId="3" fillId="0" borderId="0" xfId="0" applyNumberFormat="1" applyFont="1" applyAlignment="1">
      <alignment horizontal="center" vertical="center"/>
    </xf>
    <xf numFmtId="164" fontId="3" fillId="0" borderId="39" xfId="0" applyNumberFormat="1" applyFont="1" applyBorder="1" applyAlignment="1">
      <alignment horizontal="center" vertical="center"/>
    </xf>
    <xf numFmtId="164" fontId="3" fillId="0" borderId="37" xfId="0" applyNumberFormat="1" applyFont="1" applyBorder="1" applyAlignment="1">
      <alignment horizontal="center" vertical="center"/>
    </xf>
    <xf numFmtId="0" fontId="3" fillId="7" borderId="37" xfId="0" applyFont="1" applyFill="1" applyBorder="1"/>
    <xf numFmtId="0" fontId="3" fillId="7" borderId="62" xfId="0" applyFont="1" applyFill="1" applyBorder="1"/>
    <xf numFmtId="164" fontId="3" fillId="0" borderId="64" xfId="0" applyNumberFormat="1" applyFont="1" applyBorder="1" applyAlignment="1">
      <alignment horizontal="center" vertical="center"/>
    </xf>
    <xf numFmtId="164" fontId="3" fillId="0" borderId="19" xfId="0" applyNumberFormat="1" applyFont="1" applyBorder="1" applyAlignment="1">
      <alignment horizontal="center" vertical="center"/>
    </xf>
    <xf numFmtId="164" fontId="3" fillId="0" borderId="62" xfId="0" applyNumberFormat="1" applyFont="1" applyBorder="1" applyAlignment="1">
      <alignment horizontal="center" vertical="center"/>
    </xf>
    <xf numFmtId="44" fontId="3" fillId="0" borderId="0" xfId="1" applyFont="1" applyBorder="1"/>
    <xf numFmtId="7" fontId="3" fillId="0" borderId="0" xfId="1" applyNumberFormat="1" applyFont="1"/>
    <xf numFmtId="164" fontId="3" fillId="0" borderId="0" xfId="0" applyNumberFormat="1" applyFont="1" applyAlignment="1">
      <alignment horizontal="center"/>
    </xf>
    <xf numFmtId="0" fontId="3" fillId="13" borderId="0" xfId="0" applyFont="1" applyFill="1"/>
    <xf numFmtId="0" fontId="9" fillId="0" borderId="0" xfId="0" applyFont="1"/>
    <xf numFmtId="0" fontId="9" fillId="0" borderId="0" xfId="0" applyFont="1" applyAlignment="1">
      <alignment wrapText="1"/>
    </xf>
    <xf numFmtId="0" fontId="27" fillId="0" borderId="0" xfId="0" applyFont="1"/>
    <xf numFmtId="0" fontId="28" fillId="0" borderId="0" xfId="0" applyFont="1"/>
    <xf numFmtId="0" fontId="3" fillId="0" borderId="0" xfId="0" applyFont="1" applyAlignment="1">
      <alignment horizontal="left" wrapText="1"/>
    </xf>
    <xf numFmtId="0" fontId="29" fillId="8" borderId="4" xfId="0" applyFont="1" applyFill="1" applyBorder="1" applyAlignment="1">
      <alignment horizontal="justify" vertical="center"/>
    </xf>
    <xf numFmtId="0" fontId="29" fillId="8" borderId="5" xfId="0" applyFont="1" applyFill="1" applyBorder="1" applyAlignment="1">
      <alignment horizontal="justify" vertical="center"/>
    </xf>
    <xf numFmtId="0" fontId="30" fillId="9" borderId="4" xfId="0" applyFont="1" applyFill="1" applyBorder="1" applyAlignment="1">
      <alignment horizontal="justify" vertical="center" wrapText="1"/>
    </xf>
    <xf numFmtId="0" fontId="30" fillId="0" borderId="5" xfId="0" applyFont="1" applyBorder="1" applyAlignment="1">
      <alignment horizontal="justify" vertical="center"/>
    </xf>
    <xf numFmtId="0" fontId="21" fillId="11" borderId="0" xfId="0" applyFont="1" applyFill="1"/>
    <xf numFmtId="0" fontId="29" fillId="11" borderId="0" xfId="0" applyFont="1" applyFill="1" applyAlignment="1">
      <alignment vertical="center"/>
    </xf>
    <xf numFmtId="0" fontId="3" fillId="0" borderId="6" xfId="0" applyFont="1" applyBorder="1" applyAlignment="1">
      <alignment vertical="center"/>
    </xf>
    <xf numFmtId="0" fontId="3" fillId="0" borderId="6" xfId="0" applyFont="1" applyBorder="1"/>
    <xf numFmtId="0" fontId="3" fillId="0" borderId="0" xfId="0" applyFont="1" applyAlignment="1">
      <alignment vertical="center"/>
    </xf>
    <xf numFmtId="0" fontId="24" fillId="12" borderId="7" xfId="0" applyFont="1" applyFill="1" applyBorder="1" applyAlignment="1">
      <alignment vertical="center" wrapText="1"/>
    </xf>
    <xf numFmtId="0" fontId="24" fillId="12" borderId="8" xfId="0" applyFont="1" applyFill="1" applyBorder="1" applyAlignment="1">
      <alignment vertical="center" wrapText="1"/>
    </xf>
    <xf numFmtId="0" fontId="24" fillId="12" borderId="9" xfId="0" applyFont="1" applyFill="1" applyBorder="1" applyAlignment="1">
      <alignment vertical="center" wrapText="1"/>
    </xf>
    <xf numFmtId="0" fontId="29" fillId="8" borderId="10" xfId="0" applyFont="1" applyFill="1" applyBorder="1" applyAlignment="1">
      <alignment vertical="center" wrapText="1"/>
    </xf>
    <xf numFmtId="0" fontId="3" fillId="0" borderId="11" xfId="0" applyFont="1" applyBorder="1" applyAlignment="1">
      <alignment vertical="center" wrapText="1"/>
    </xf>
    <xf numFmtId="0" fontId="32" fillId="8" borderId="10" xfId="0" applyFont="1" applyFill="1" applyBorder="1" applyAlignment="1">
      <alignment vertical="center" wrapText="1"/>
    </xf>
    <xf numFmtId="0" fontId="21" fillId="13" borderId="15" xfId="0" applyFont="1" applyFill="1" applyBorder="1" applyAlignment="1">
      <alignment horizontal="center"/>
    </xf>
    <xf numFmtId="0" fontId="24" fillId="15" borderId="17" xfId="0" applyFont="1" applyFill="1" applyBorder="1" applyAlignment="1">
      <alignment horizontal="center" vertical="center" wrapText="1"/>
    </xf>
    <xf numFmtId="0" fontId="21" fillId="13" borderId="0" xfId="0" applyFont="1" applyFill="1" applyAlignment="1">
      <alignment horizontal="center"/>
    </xf>
    <xf numFmtId="0" fontId="24" fillId="13" borderId="1" xfId="0" applyFont="1" applyFill="1" applyBorder="1" applyAlignment="1">
      <alignment horizontal="right" vertical="center" wrapText="1"/>
    </xf>
    <xf numFmtId="0" fontId="35" fillId="15" borderId="40" xfId="0" applyFont="1" applyFill="1" applyBorder="1" applyAlignment="1">
      <alignment horizontal="center" vertical="center" wrapText="1"/>
    </xf>
    <xf numFmtId="0" fontId="24" fillId="13" borderId="0" xfId="0" applyFont="1" applyFill="1" applyAlignment="1">
      <alignment horizontal="right" vertical="center" wrapText="1"/>
    </xf>
    <xf numFmtId="0" fontId="3" fillId="7" borderId="23" xfId="0" applyFont="1" applyFill="1" applyBorder="1" applyAlignment="1">
      <alignment vertical="center"/>
    </xf>
    <xf numFmtId="8" fontId="3" fillId="0" borderId="22" xfId="0" applyNumberFormat="1" applyFont="1" applyBorder="1" applyAlignment="1">
      <alignment horizontal="center" vertical="center"/>
    </xf>
    <xf numFmtId="6" fontId="3" fillId="0" borderId="24" xfId="0" applyNumberFormat="1" applyFont="1" applyBorder="1" applyAlignment="1">
      <alignment horizontal="center" vertical="center"/>
    </xf>
    <xf numFmtId="168" fontId="3" fillId="0" borderId="24" xfId="1" applyNumberFormat="1" applyFont="1" applyBorder="1" applyAlignment="1">
      <alignment horizontal="center" vertical="center"/>
    </xf>
    <xf numFmtId="164" fontId="3" fillId="0" borderId="27" xfId="1" quotePrefix="1" applyNumberFormat="1" applyFont="1" applyBorder="1" applyAlignment="1">
      <alignment horizontal="center" vertical="center"/>
    </xf>
    <xf numFmtId="164" fontId="3" fillId="0" borderId="6" xfId="1" applyNumberFormat="1" applyFont="1" applyFill="1" applyBorder="1" applyAlignment="1">
      <alignment horizontal="center" vertical="center"/>
    </xf>
    <xf numFmtId="164" fontId="3" fillId="0" borderId="24" xfId="1" applyNumberFormat="1" applyFont="1" applyBorder="1" applyAlignment="1">
      <alignment horizontal="center" vertical="center"/>
    </xf>
    <xf numFmtId="0" fontId="18" fillId="0" borderId="26" xfId="0" applyFont="1" applyBorder="1" applyAlignment="1">
      <alignment horizontal="right"/>
    </xf>
    <xf numFmtId="0" fontId="18" fillId="0" borderId="26" xfId="0" applyFont="1" applyBorder="1" applyAlignment="1">
      <alignment horizontal="right" wrapText="1"/>
    </xf>
    <xf numFmtId="44" fontId="3" fillId="13" borderId="27" xfId="1" applyFont="1" applyFill="1" applyBorder="1"/>
    <xf numFmtId="44" fontId="3" fillId="13" borderId="28" xfId="1" applyFont="1" applyFill="1" applyBorder="1"/>
    <xf numFmtId="164" fontId="3" fillId="0" borderId="6" xfId="1" quotePrefix="1" applyNumberFormat="1" applyFont="1" applyBorder="1" applyAlignment="1">
      <alignment horizontal="center" vertical="center"/>
    </xf>
    <xf numFmtId="164" fontId="3" fillId="0" borderId="24" xfId="1" quotePrefix="1" applyNumberFormat="1" applyFont="1" applyBorder="1" applyAlignment="1">
      <alignment horizontal="center" vertical="center"/>
    </xf>
    <xf numFmtId="0" fontId="3" fillId="13" borderId="16" xfId="0" applyFont="1" applyFill="1" applyBorder="1" applyAlignment="1">
      <alignment vertical="center"/>
    </xf>
    <xf numFmtId="8" fontId="3" fillId="13" borderId="29" xfId="0" applyNumberFormat="1" applyFont="1" applyFill="1" applyBorder="1" applyAlignment="1">
      <alignment horizontal="center" vertical="center"/>
    </xf>
    <xf numFmtId="8" fontId="3" fillId="13" borderId="20" xfId="0" applyNumberFormat="1" applyFont="1" applyFill="1" applyBorder="1" applyAlignment="1">
      <alignment horizontal="center" vertical="center"/>
    </xf>
    <xf numFmtId="44" fontId="3" fillId="13" borderId="30" xfId="1" applyFont="1" applyFill="1" applyBorder="1"/>
    <xf numFmtId="44" fontId="3" fillId="13" borderId="21" xfId="1" applyFont="1" applyFill="1" applyBorder="1"/>
    <xf numFmtId="44" fontId="3" fillId="13" borderId="1" xfId="1" applyFont="1" applyFill="1" applyBorder="1"/>
    <xf numFmtId="44" fontId="3" fillId="13" borderId="31" xfId="1" applyFont="1" applyFill="1" applyBorder="1"/>
    <xf numFmtId="44" fontId="3" fillId="13" borderId="32" xfId="1" applyFont="1" applyFill="1" applyBorder="1"/>
    <xf numFmtId="44" fontId="3" fillId="13" borderId="24" xfId="1" applyFont="1" applyFill="1" applyBorder="1" applyAlignment="1">
      <alignment wrapText="1"/>
    </xf>
    <xf numFmtId="0" fontId="21" fillId="14" borderId="2" xfId="0" applyFont="1" applyFill="1" applyBorder="1" applyAlignment="1">
      <alignment horizontal="center"/>
    </xf>
    <xf numFmtId="0" fontId="21" fillId="14" borderId="18" xfId="0" applyFont="1" applyFill="1" applyBorder="1" applyAlignment="1">
      <alignment horizontal="center"/>
    </xf>
    <xf numFmtId="0" fontId="24" fillId="13" borderId="27" xfId="0" applyFont="1" applyFill="1" applyBorder="1" applyAlignment="1">
      <alignment horizontal="right" vertical="center" wrapText="1"/>
    </xf>
    <xf numFmtId="164" fontId="3" fillId="17" borderId="27" xfId="1" applyNumberFormat="1" applyFont="1" applyFill="1" applyBorder="1" applyAlignment="1">
      <alignment horizontal="center" vertical="center"/>
    </xf>
    <xf numFmtId="0" fontId="18" fillId="17" borderId="26" xfId="0" applyFont="1" applyFill="1" applyBorder="1" applyAlignment="1">
      <alignment horizontal="right" wrapText="1"/>
    </xf>
    <xf numFmtId="164" fontId="3" fillId="0" borderId="22" xfId="1" applyNumberFormat="1" applyFont="1" applyBorder="1" applyAlignment="1">
      <alignment horizontal="center" vertical="center"/>
    </xf>
    <xf numFmtId="0" fontId="18" fillId="0" borderId="0" xfId="0" applyFont="1" applyAlignment="1">
      <alignment vertical="center"/>
    </xf>
    <xf numFmtId="168" fontId="3" fillId="0" borderId="0" xfId="0" applyNumberFormat="1" applyFont="1"/>
    <xf numFmtId="5" fontId="3" fillId="0" borderId="41" xfId="1" applyNumberFormat="1" applyFont="1" applyBorder="1" applyAlignment="1">
      <alignment horizontal="center" vertical="center"/>
    </xf>
    <xf numFmtId="0" fontId="3" fillId="0" borderId="0" xfId="0" applyFont="1" applyProtection="1">
      <protection locked="0"/>
    </xf>
    <xf numFmtId="0" fontId="3" fillId="7" borderId="0" xfId="0" applyFont="1" applyFill="1" applyProtection="1">
      <protection locked="0"/>
    </xf>
    <xf numFmtId="165" fontId="3" fillId="0" borderId="0" xfId="0" applyNumberFormat="1" applyFont="1" applyAlignment="1" applyProtection="1">
      <alignment horizontal="right" vertical="center"/>
      <protection locked="0"/>
    </xf>
    <xf numFmtId="165" fontId="3" fillId="0" borderId="0" xfId="0" applyNumberFormat="1" applyFont="1" applyProtection="1">
      <protection locked="0"/>
    </xf>
    <xf numFmtId="3" fontId="3" fillId="0" borderId="0" xfId="0" applyNumberFormat="1" applyFont="1" applyProtection="1">
      <protection locked="0"/>
    </xf>
    <xf numFmtId="166" fontId="3" fillId="0" borderId="0" xfId="3" applyNumberFormat="1" applyFont="1" applyAlignment="1" applyProtection="1">
      <alignment horizontal="right" vertical="center"/>
      <protection locked="0"/>
    </xf>
    <xf numFmtId="166" fontId="3" fillId="0" borderId="0" xfId="3" applyNumberFormat="1" applyFont="1" applyProtection="1">
      <protection locked="0"/>
    </xf>
    <xf numFmtId="0" fontId="15" fillId="0" borderId="0" xfId="0" applyFont="1" applyProtection="1">
      <protection locked="0"/>
    </xf>
    <xf numFmtId="164" fontId="3" fillId="0" borderId="0" xfId="0" applyNumberFormat="1" applyFont="1" applyAlignment="1" applyProtection="1">
      <alignment horizontal="right" vertical="center"/>
      <protection locked="0"/>
    </xf>
    <xf numFmtId="7" fontId="3" fillId="0" borderId="0" xfId="0" applyNumberFormat="1" applyFont="1" applyAlignment="1" applyProtection="1">
      <alignment horizontal="right" vertical="center"/>
      <protection locked="0"/>
    </xf>
    <xf numFmtId="164" fontId="3" fillId="0" borderId="0" xfId="0" applyNumberFormat="1" applyFont="1" applyProtection="1">
      <protection locked="0"/>
    </xf>
    <xf numFmtId="7" fontId="3" fillId="0" borderId="0" xfId="0" applyNumberFormat="1" applyFont="1" applyProtection="1">
      <protection locked="0"/>
    </xf>
    <xf numFmtId="0" fontId="9" fillId="2" borderId="0" xfId="0" applyFont="1" applyFill="1" applyAlignment="1">
      <alignment horizontal="left"/>
    </xf>
    <xf numFmtId="0" fontId="9" fillId="2" borderId="37" xfId="0" applyFont="1" applyFill="1" applyBorder="1" applyAlignment="1">
      <alignment horizontal="center"/>
    </xf>
    <xf numFmtId="0" fontId="9" fillId="2" borderId="0" xfId="0" applyFont="1" applyFill="1" applyAlignment="1">
      <alignment horizontal="center"/>
    </xf>
    <xf numFmtId="166" fontId="3" fillId="0" borderId="37" xfId="3" applyNumberFormat="1" applyFont="1" applyBorder="1"/>
    <xf numFmtId="166" fontId="3" fillId="0" borderId="0" xfId="3" applyNumberFormat="1" applyFont="1"/>
    <xf numFmtId="3" fontId="3" fillId="0" borderId="0" xfId="0" applyNumberFormat="1" applyFont="1"/>
    <xf numFmtId="17" fontId="3" fillId="0" borderId="0" xfId="0" applyNumberFormat="1" applyFont="1"/>
    <xf numFmtId="7" fontId="3" fillId="0" borderId="0" xfId="0" applyNumberFormat="1" applyFont="1"/>
    <xf numFmtId="164" fontId="3" fillId="0" borderId="71" xfId="1" applyNumberFormat="1" applyFont="1" applyBorder="1" applyAlignment="1">
      <alignment horizontal="center" vertical="center"/>
    </xf>
    <xf numFmtId="0" fontId="36" fillId="2" borderId="0" xfId="0" applyFont="1" applyFill="1" applyAlignment="1">
      <alignment horizontal="center" vertical="center" wrapText="1"/>
    </xf>
    <xf numFmtId="0" fontId="3" fillId="7" borderId="0" xfId="0" applyFont="1" applyFill="1"/>
    <xf numFmtId="9" fontId="3" fillId="0" borderId="0" xfId="3" applyFont="1" applyBorder="1" applyAlignment="1">
      <alignment horizontal="center" vertical="center"/>
    </xf>
    <xf numFmtId="0" fontId="3" fillId="7" borderId="72" xfId="0" applyFont="1" applyFill="1" applyBorder="1" applyProtection="1">
      <protection locked="0"/>
    </xf>
    <xf numFmtId="165" fontId="3" fillId="0" borderId="72" xfId="0" applyNumberFormat="1" applyFont="1" applyBorder="1" applyAlignment="1" applyProtection="1">
      <alignment horizontal="right" vertical="center"/>
      <protection locked="0"/>
    </xf>
    <xf numFmtId="166" fontId="3" fillId="0" borderId="72" xfId="3" applyNumberFormat="1" applyFont="1" applyBorder="1" applyAlignment="1" applyProtection="1">
      <alignment horizontal="right" vertical="center"/>
      <protection locked="0"/>
    </xf>
    <xf numFmtId="164" fontId="3" fillId="0" borderId="72" xfId="0" applyNumberFormat="1" applyFont="1" applyBorder="1" applyAlignment="1" applyProtection="1">
      <alignment horizontal="right" vertical="center"/>
      <protection locked="0"/>
    </xf>
    <xf numFmtId="7" fontId="3" fillId="0" borderId="72" xfId="0" applyNumberFormat="1" applyFont="1" applyBorder="1" applyAlignment="1" applyProtection="1">
      <alignment horizontal="right" vertical="center"/>
      <protection locked="0"/>
    </xf>
    <xf numFmtId="166" fontId="3" fillId="0" borderId="0" xfId="3" applyNumberFormat="1" applyFont="1" applyBorder="1" applyAlignment="1" applyProtection="1">
      <alignment horizontal="right" vertical="center"/>
      <protection locked="0"/>
    </xf>
    <xf numFmtId="0" fontId="37" fillId="0" borderId="0" xfId="0" applyFont="1" applyAlignment="1">
      <alignment horizontal="center"/>
    </xf>
    <xf numFmtId="9" fontId="3" fillId="0" borderId="0" xfId="3" applyFont="1" applyFill="1" applyBorder="1" applyAlignment="1">
      <alignment horizontal="center" vertical="center"/>
    </xf>
    <xf numFmtId="9" fontId="3" fillId="0" borderId="1" xfId="3" applyFont="1" applyFill="1" applyBorder="1" applyAlignment="1">
      <alignment horizontal="center" vertical="center"/>
    </xf>
    <xf numFmtId="3" fontId="3" fillId="0" borderId="0" xfId="3" applyNumberFormat="1" applyFont="1" applyFill="1" applyBorder="1" applyAlignment="1">
      <alignment horizontal="center" vertical="center"/>
    </xf>
    <xf numFmtId="164" fontId="3" fillId="0" borderId="0" xfId="3" applyNumberFormat="1" applyFont="1" applyBorder="1" applyAlignment="1">
      <alignment horizontal="center" vertical="center"/>
    </xf>
    <xf numFmtId="164" fontId="3" fillId="0" borderId="0" xfId="3" applyNumberFormat="1" applyFont="1" applyFill="1" applyBorder="1" applyAlignment="1">
      <alignment horizontal="center" vertical="center"/>
    </xf>
    <xf numFmtId="9" fontId="3" fillId="0" borderId="37" xfId="3" applyFont="1" applyBorder="1" applyAlignment="1">
      <alignment horizontal="center" vertical="center"/>
    </xf>
    <xf numFmtId="0" fontId="3" fillId="7" borderId="39" xfId="0" applyFont="1" applyFill="1" applyBorder="1" applyAlignment="1">
      <alignment vertical="center"/>
    </xf>
    <xf numFmtId="0" fontId="3" fillId="7" borderId="47" xfId="0" applyFont="1" applyFill="1" applyBorder="1" applyAlignment="1">
      <alignment vertical="center"/>
    </xf>
    <xf numFmtId="9" fontId="3" fillId="0" borderId="48" xfId="3" applyFont="1" applyBorder="1" applyAlignment="1">
      <alignment horizontal="center" vertical="center"/>
    </xf>
    <xf numFmtId="3" fontId="3" fillId="0" borderId="48" xfId="3" applyNumberFormat="1" applyFont="1" applyFill="1" applyBorder="1" applyAlignment="1">
      <alignment horizontal="center" vertical="center"/>
    </xf>
    <xf numFmtId="9" fontId="3" fillId="0" borderId="73" xfId="3" applyFont="1" applyFill="1" applyBorder="1" applyAlignment="1">
      <alignment horizontal="center" vertical="center"/>
    </xf>
    <xf numFmtId="164" fontId="3" fillId="0" borderId="48" xfId="3" applyNumberFormat="1" applyFont="1" applyBorder="1" applyAlignment="1">
      <alignment horizontal="center" vertical="center"/>
    </xf>
    <xf numFmtId="9" fontId="3" fillId="0" borderId="5" xfId="3" applyFont="1" applyBorder="1" applyAlignment="1">
      <alignment horizontal="center" vertical="center"/>
    </xf>
    <xf numFmtId="7" fontId="3" fillId="0" borderId="66" xfId="1" applyNumberFormat="1" applyFont="1" applyBorder="1" applyAlignment="1">
      <alignment horizontal="center" vertical="center"/>
    </xf>
    <xf numFmtId="7" fontId="3" fillId="0" borderId="67" xfId="1" applyNumberFormat="1" applyFont="1" applyBorder="1" applyAlignment="1">
      <alignment horizontal="center" vertical="center"/>
    </xf>
    <xf numFmtId="7" fontId="3" fillId="11" borderId="54" xfId="1" applyNumberFormat="1" applyFont="1" applyFill="1" applyBorder="1" applyAlignment="1">
      <alignment horizontal="center" vertical="center"/>
    </xf>
    <xf numFmtId="7" fontId="3" fillId="11" borderId="68" xfId="1" applyNumberFormat="1" applyFont="1" applyFill="1" applyBorder="1" applyAlignment="1">
      <alignment horizontal="center" vertical="center"/>
    </xf>
    <xf numFmtId="0" fontId="9" fillId="2" borderId="0" xfId="0" applyFont="1" applyFill="1" applyProtection="1">
      <protection locked="0"/>
    </xf>
    <xf numFmtId="0" fontId="9" fillId="2" borderId="0" xfId="0" applyFont="1" applyFill="1" applyAlignment="1" applyProtection="1">
      <alignment horizontal="center" vertical="center" wrapText="1"/>
      <protection locked="0"/>
    </xf>
    <xf numFmtId="0" fontId="9" fillId="2" borderId="0" xfId="0" applyFont="1" applyFill="1" applyAlignment="1">
      <alignment vertical="center"/>
    </xf>
    <xf numFmtId="0" fontId="9" fillId="2" borderId="0" xfId="0" applyFont="1" applyFill="1" applyAlignment="1">
      <alignment vertical="center" wrapText="1"/>
    </xf>
    <xf numFmtId="0" fontId="17" fillId="0" borderId="0" xfId="0" applyFont="1"/>
    <xf numFmtId="3" fontId="3" fillId="0" borderId="0" xfId="1" applyNumberFormat="1" applyFont="1"/>
    <xf numFmtId="17" fontId="3" fillId="7" borderId="0" xfId="0" applyNumberFormat="1" applyFont="1" applyFill="1"/>
    <xf numFmtId="3" fontId="3" fillId="0" borderId="0" xfId="4" applyNumberFormat="1" applyFont="1"/>
    <xf numFmtId="0" fontId="3" fillId="7" borderId="74" xfId="0" applyFont="1" applyFill="1" applyBorder="1" applyAlignment="1">
      <alignment vertical="center"/>
    </xf>
    <xf numFmtId="9" fontId="3" fillId="0" borderId="75" xfId="3" applyFont="1" applyBorder="1" applyAlignment="1">
      <alignment horizontal="center" vertical="center"/>
    </xf>
    <xf numFmtId="7" fontId="3" fillId="0" borderId="76" xfId="1" applyNumberFormat="1" applyFont="1" applyBorder="1" applyAlignment="1">
      <alignment horizontal="center" vertical="center"/>
    </xf>
    <xf numFmtId="7" fontId="3" fillId="0" borderId="77" xfId="1" applyNumberFormat="1" applyFont="1" applyBorder="1" applyAlignment="1">
      <alignment horizontal="center" vertical="center"/>
    </xf>
    <xf numFmtId="3" fontId="3" fillId="0" borderId="75" xfId="3" applyNumberFormat="1" applyFont="1" applyBorder="1" applyAlignment="1">
      <alignment horizontal="center" vertical="center"/>
    </xf>
    <xf numFmtId="9" fontId="3" fillId="0" borderId="78" xfId="3" applyFont="1" applyBorder="1" applyAlignment="1">
      <alignment horizontal="center" vertical="center"/>
    </xf>
    <xf numFmtId="164" fontId="3" fillId="0" borderId="75" xfId="3" applyNumberFormat="1" applyFont="1" applyBorder="1" applyAlignment="1">
      <alignment horizontal="center" vertical="center"/>
    </xf>
    <xf numFmtId="9" fontId="3" fillId="0" borderId="79" xfId="3" applyFont="1" applyBorder="1" applyAlignment="1">
      <alignment horizontal="center" vertical="center"/>
    </xf>
    <xf numFmtId="0" fontId="3" fillId="0" borderId="0" xfId="0" applyFont="1" applyAlignment="1">
      <alignment horizontal="right"/>
    </xf>
    <xf numFmtId="0" fontId="9" fillId="2" borderId="0" xfId="0" applyFont="1" applyFill="1" applyAlignment="1">
      <alignment horizontal="center" vertical="center"/>
    </xf>
    <xf numFmtId="8" fontId="3" fillId="11" borderId="54" xfId="1" applyNumberFormat="1" applyFont="1" applyFill="1" applyBorder="1" applyAlignment="1">
      <alignment horizontal="center" vertical="center"/>
    </xf>
    <xf numFmtId="8" fontId="3" fillId="11" borderId="68" xfId="1" applyNumberFormat="1" applyFont="1" applyFill="1" applyBorder="1" applyAlignment="1">
      <alignment horizontal="center" vertical="center"/>
    </xf>
    <xf numFmtId="0" fontId="21" fillId="14" borderId="3" xfId="0" applyFont="1" applyFill="1" applyBorder="1" applyAlignment="1">
      <alignment horizontal="center"/>
    </xf>
    <xf numFmtId="0" fontId="35" fillId="2" borderId="40" xfId="0" applyFont="1" applyFill="1" applyBorder="1" applyAlignment="1">
      <alignment horizontal="center" vertical="center" wrapText="1"/>
    </xf>
    <xf numFmtId="0" fontId="35" fillId="2" borderId="69" xfId="0" applyFont="1" applyFill="1" applyBorder="1" applyAlignment="1">
      <alignment horizontal="center" vertical="center" wrapText="1"/>
    </xf>
    <xf numFmtId="164" fontId="3" fillId="0" borderId="0" xfId="1" applyNumberFormat="1" applyFont="1"/>
    <xf numFmtId="8" fontId="33" fillId="11" borderId="54" xfId="1" applyNumberFormat="1" applyFont="1" applyFill="1" applyBorder="1" applyAlignment="1">
      <alignment horizontal="center" vertical="center"/>
    </xf>
    <xf numFmtId="0" fontId="21" fillId="19" borderId="18" xfId="0" applyFont="1" applyFill="1" applyBorder="1" applyAlignment="1">
      <alignment horizontal="center" vertical="center"/>
    </xf>
    <xf numFmtId="0" fontId="21" fillId="19" borderId="2" xfId="0" applyFont="1" applyFill="1" applyBorder="1" applyAlignment="1">
      <alignment horizontal="center" vertical="center"/>
    </xf>
    <xf numFmtId="0" fontId="21" fillId="19" borderId="3" xfId="0" applyFont="1" applyFill="1" applyBorder="1" applyAlignment="1">
      <alignment horizontal="center" vertical="center"/>
    </xf>
    <xf numFmtId="44" fontId="0" fillId="0" borderId="0" xfId="1" applyFont="1"/>
    <xf numFmtId="164" fontId="0" fillId="0" borderId="0" xfId="0" applyNumberFormat="1"/>
    <xf numFmtId="164" fontId="0" fillId="0" borderId="0" xfId="1" applyNumberFormat="1" applyFont="1"/>
    <xf numFmtId="7" fontId="38" fillId="11" borderId="54" xfId="1" applyNumberFormat="1" applyFont="1" applyFill="1" applyBorder="1" applyAlignment="1">
      <alignment horizontal="center" vertical="center"/>
    </xf>
    <xf numFmtId="7" fontId="33" fillId="11" borderId="54" xfId="1" applyNumberFormat="1" applyFont="1" applyFill="1" applyBorder="1" applyAlignment="1">
      <alignment horizontal="center" vertical="center"/>
    </xf>
    <xf numFmtId="166" fontId="0" fillId="0" borderId="0" xfId="3" applyNumberFormat="1" applyFont="1"/>
    <xf numFmtId="7" fontId="0" fillId="0" borderId="0" xfId="0" applyNumberFormat="1"/>
    <xf numFmtId="0" fontId="3" fillId="5" borderId="0" xfId="0" applyFont="1" applyFill="1" applyAlignment="1">
      <alignment horizontal="center" vertical="center" wrapText="1"/>
    </xf>
    <xf numFmtId="0" fontId="3" fillId="20" borderId="0" xfId="0" applyFont="1" applyFill="1" applyAlignment="1">
      <alignment horizontal="center" vertical="center" wrapText="1"/>
    </xf>
    <xf numFmtId="0" fontId="3" fillId="19" borderId="0" xfId="0" applyFont="1" applyFill="1" applyAlignment="1">
      <alignment horizontal="center" vertical="center" wrapText="1"/>
    </xf>
    <xf numFmtId="0" fontId="3" fillId="6" borderId="0" xfId="0" applyFont="1" applyFill="1" applyAlignment="1">
      <alignment horizontal="center" vertical="center" wrapText="1"/>
    </xf>
    <xf numFmtId="0" fontId="5" fillId="2" borderId="0" xfId="0" applyFont="1" applyFill="1" applyAlignment="1">
      <alignment horizontal="center"/>
    </xf>
    <xf numFmtId="17" fontId="6" fillId="2" borderId="0" xfId="0" quotePrefix="1" applyNumberFormat="1"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center"/>
    </xf>
    <xf numFmtId="0" fontId="7" fillId="2" borderId="0" xfId="0" applyFont="1" applyFill="1" applyAlignment="1">
      <alignment horizontal="center" vertical="center"/>
    </xf>
    <xf numFmtId="0" fontId="3" fillId="3" borderId="0" xfId="0" applyFont="1" applyFill="1" applyAlignment="1">
      <alignment horizontal="center" vertical="center" wrapText="1"/>
    </xf>
    <xf numFmtId="0" fontId="34" fillId="15" borderId="56" xfId="0" applyFont="1" applyFill="1" applyBorder="1" applyAlignment="1">
      <alignment horizontal="center" vertical="center" wrapText="1"/>
    </xf>
    <xf numFmtId="0" fontId="34" fillId="15" borderId="62" xfId="0" applyFont="1" applyFill="1" applyBorder="1" applyAlignment="1">
      <alignment horizontal="center" vertical="center" wrapText="1"/>
    </xf>
    <xf numFmtId="0" fontId="21" fillId="19" borderId="18" xfId="0" applyFont="1" applyFill="1" applyBorder="1" applyAlignment="1">
      <alignment horizontal="center"/>
    </xf>
    <xf numFmtId="0" fontId="19" fillId="0" borderId="57" xfId="0" applyFont="1" applyBorder="1" applyAlignment="1">
      <alignment horizontal="left" vertical="center"/>
    </xf>
    <xf numFmtId="0" fontId="19" fillId="0" borderId="53" xfId="0" applyFont="1" applyBorder="1" applyAlignment="1">
      <alignment horizontal="left" vertical="center"/>
    </xf>
    <xf numFmtId="0" fontId="19" fillId="0" borderId="58" xfId="0" applyFont="1" applyBorder="1" applyAlignment="1">
      <alignment horizontal="left" vertical="center"/>
    </xf>
    <xf numFmtId="0" fontId="20" fillId="5" borderId="3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59" xfId="0" applyFont="1" applyFill="1" applyBorder="1" applyAlignment="1">
      <alignment horizontal="center" vertical="center" wrapText="1"/>
    </xf>
    <xf numFmtId="0" fontId="20" fillId="5" borderId="54" xfId="0" applyFont="1" applyFill="1" applyBorder="1" applyAlignment="1">
      <alignment horizontal="center" vertical="center" wrapText="1"/>
    </xf>
    <xf numFmtId="0" fontId="20" fillId="5" borderId="41" xfId="0" applyFont="1" applyFill="1" applyBorder="1" applyAlignment="1">
      <alignment horizontal="center" vertical="center" wrapText="1"/>
    </xf>
    <xf numFmtId="0" fontId="24" fillId="16" borderId="66" xfId="0" applyFont="1" applyFill="1" applyBorder="1" applyAlignment="1">
      <alignment horizontal="center" vertical="center" wrapText="1"/>
    </xf>
    <xf numFmtId="0" fontId="24" fillId="16" borderId="6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4" fillId="16" borderId="40" xfId="0" applyFont="1" applyFill="1" applyBorder="1" applyAlignment="1">
      <alignment horizontal="center" vertical="center" wrapText="1"/>
    </xf>
    <xf numFmtId="0" fontId="20" fillId="20" borderId="65" xfId="0" applyFont="1" applyFill="1" applyBorder="1" applyAlignment="1">
      <alignment horizontal="center" vertical="center" wrapText="1"/>
    </xf>
    <xf numFmtId="0" fontId="20" fillId="20" borderId="66" xfId="0" applyFont="1" applyFill="1" applyBorder="1" applyAlignment="1">
      <alignment horizontal="center" vertical="center" wrapText="1"/>
    </xf>
    <xf numFmtId="0" fontId="20" fillId="20" borderId="55" xfId="0" applyFont="1" applyFill="1" applyBorder="1" applyAlignment="1">
      <alignment horizontal="center" vertical="center" wrapText="1"/>
    </xf>
    <xf numFmtId="0" fontId="20" fillId="20" borderId="54" xfId="0" applyFont="1" applyFill="1" applyBorder="1" applyAlignment="1">
      <alignment horizontal="center" vertical="center" wrapText="1"/>
    </xf>
    <xf numFmtId="0" fontId="24" fillId="15" borderId="54" xfId="0" applyFont="1" applyFill="1" applyBorder="1" applyAlignment="1">
      <alignment horizontal="center" vertical="center" wrapText="1"/>
    </xf>
    <xf numFmtId="0" fontId="24" fillId="15" borderId="41" xfId="0" applyFont="1" applyFill="1" applyBorder="1" applyAlignment="1">
      <alignment horizontal="center" vertical="center" wrapText="1"/>
    </xf>
    <xf numFmtId="0" fontId="24" fillId="15" borderId="31" xfId="0" applyFont="1" applyFill="1" applyBorder="1" applyAlignment="1">
      <alignment horizontal="center" vertical="center" wrapText="1"/>
    </xf>
    <xf numFmtId="0" fontId="24" fillId="15" borderId="40" xfId="0" applyFont="1" applyFill="1" applyBorder="1" applyAlignment="1">
      <alignment horizontal="center" vertical="center" wrapText="1"/>
    </xf>
    <xf numFmtId="0" fontId="21" fillId="14" borderId="18" xfId="0" applyFont="1" applyFill="1" applyBorder="1" applyAlignment="1">
      <alignment horizontal="center"/>
    </xf>
    <xf numFmtId="0" fontId="20" fillId="20" borderId="12" xfId="0" applyFont="1" applyFill="1" applyBorder="1" applyAlignment="1">
      <alignment horizontal="center" vertical="center" wrapText="1"/>
    </xf>
    <xf numFmtId="0" fontId="20" fillId="20" borderId="14" xfId="0" applyFont="1" applyFill="1" applyBorder="1" applyAlignment="1">
      <alignment horizontal="center" vertical="center" wrapText="1"/>
    </xf>
    <xf numFmtId="0" fontId="2" fillId="2" borderId="0" xfId="0" applyFont="1" applyFill="1" applyAlignment="1">
      <alignment horizontal="center"/>
    </xf>
    <xf numFmtId="0" fontId="11" fillId="2" borderId="12" xfId="0" applyFont="1" applyFill="1" applyBorder="1" applyAlignment="1">
      <alignment horizontal="left"/>
    </xf>
    <xf numFmtId="0" fontId="11" fillId="2" borderId="13" xfId="0" applyFont="1" applyFill="1" applyBorder="1" applyAlignment="1">
      <alignment horizontal="left"/>
    </xf>
    <xf numFmtId="0" fontId="11" fillId="2" borderId="14" xfId="0" applyFont="1" applyFill="1" applyBorder="1" applyAlignment="1">
      <alignment horizontal="left"/>
    </xf>
    <xf numFmtId="0" fontId="24" fillId="15" borderId="45" xfId="0" applyFont="1" applyFill="1" applyBorder="1" applyAlignment="1">
      <alignment horizontal="center" vertical="center" wrapText="1"/>
    </xf>
    <xf numFmtId="0" fontId="24" fillId="15" borderId="28" xfId="0" applyFont="1" applyFill="1" applyBorder="1" applyAlignment="1">
      <alignment horizontal="center" vertical="center" wrapText="1"/>
    </xf>
    <xf numFmtId="14" fontId="12" fillId="18" borderId="0" xfId="0" applyNumberFormat="1" applyFont="1" applyFill="1" applyAlignment="1">
      <alignment horizontal="left" vertical="center" wrapText="1"/>
    </xf>
    <xf numFmtId="0" fontId="29" fillId="0" borderId="2" xfId="0" applyFont="1" applyBorder="1" applyAlignment="1">
      <alignment horizontal="justify" vertical="center"/>
    </xf>
    <xf numFmtId="0" fontId="29" fillId="0" borderId="3" xfId="0" applyFont="1" applyBorder="1" applyAlignment="1">
      <alignment horizontal="justify" vertical="center"/>
    </xf>
    <xf numFmtId="0" fontId="30" fillId="10" borderId="0" xfId="0" applyFont="1" applyFill="1" applyAlignment="1">
      <alignment horizontal="left" vertical="center" wrapText="1"/>
    </xf>
    <xf numFmtId="0" fontId="3" fillId="0" borderId="0" xfId="0" applyFont="1" applyAlignment="1">
      <alignment horizontal="left" wrapText="1"/>
    </xf>
    <xf numFmtId="0" fontId="3" fillId="0" borderId="0" xfId="0" applyFont="1" applyAlignment="1">
      <alignment horizontal="center"/>
    </xf>
    <xf numFmtId="0" fontId="19" fillId="0" borderId="44" xfId="0" applyFont="1" applyBorder="1" applyAlignment="1">
      <alignment horizontal="left" vertical="center"/>
    </xf>
    <xf numFmtId="0" fontId="19" fillId="0" borderId="32" xfId="0" applyFont="1" applyBorder="1" applyAlignment="1">
      <alignment horizontal="left" vertical="center"/>
    </xf>
    <xf numFmtId="0" fontId="19" fillId="0" borderId="45" xfId="0" applyFont="1" applyBorder="1" applyAlignment="1">
      <alignment horizontal="left" vertical="center"/>
    </xf>
    <xf numFmtId="44" fontId="21" fillId="19" borderId="2" xfId="1" applyFont="1" applyFill="1" applyBorder="1" applyAlignment="1">
      <alignment horizontal="center"/>
    </xf>
    <xf numFmtId="44" fontId="21" fillId="19" borderId="18" xfId="1" applyFont="1" applyFill="1" applyBorder="1" applyAlignment="1">
      <alignment horizontal="center"/>
    </xf>
    <xf numFmtId="44" fontId="21" fillId="19" borderId="3" xfId="1" applyFont="1" applyFill="1" applyBorder="1" applyAlignment="1">
      <alignment horizontal="center"/>
    </xf>
    <xf numFmtId="0" fontId="24" fillId="16" borderId="39" xfId="0" applyFont="1" applyFill="1" applyBorder="1" applyAlignment="1">
      <alignment horizontal="center" vertical="center"/>
    </xf>
    <xf numFmtId="0" fontId="24" fillId="16" borderId="0" xfId="0" applyFont="1" applyFill="1" applyAlignment="1">
      <alignment horizontal="center" vertical="center"/>
    </xf>
    <xf numFmtId="0" fontId="24" fillId="16" borderId="37" xfId="0" applyFont="1" applyFill="1" applyBorder="1" applyAlignment="1">
      <alignment horizontal="center" vertical="center"/>
    </xf>
    <xf numFmtId="0" fontId="24" fillId="2" borderId="39" xfId="0" applyFont="1" applyFill="1" applyBorder="1" applyAlignment="1">
      <alignment horizontal="center" vertical="center"/>
    </xf>
    <xf numFmtId="0" fontId="24" fillId="2" borderId="0" xfId="0" applyFont="1" applyFill="1" applyAlignment="1">
      <alignment horizontal="center" vertical="center"/>
    </xf>
    <xf numFmtId="0" fontId="24" fillId="2" borderId="37" xfId="0" applyFont="1" applyFill="1" applyBorder="1" applyAlignment="1">
      <alignment horizontal="center" vertical="center"/>
    </xf>
    <xf numFmtId="0" fontId="3" fillId="21" borderId="25" xfId="0" applyFont="1" applyFill="1" applyBorder="1" applyAlignment="1">
      <alignment horizontal="right" vertical="center"/>
    </xf>
    <xf numFmtId="0" fontId="3" fillId="21" borderId="15" xfId="0" applyFont="1" applyFill="1" applyBorder="1" applyAlignment="1">
      <alignment horizontal="right" vertical="center"/>
    </xf>
    <xf numFmtId="0" fontId="3" fillId="21" borderId="27" xfId="0" applyFont="1" applyFill="1" applyBorder="1" applyAlignment="1">
      <alignment horizontal="right" vertical="center"/>
    </xf>
    <xf numFmtId="0" fontId="20" fillId="20" borderId="68" xfId="0" applyFont="1" applyFill="1" applyBorder="1" applyAlignment="1">
      <alignment horizontal="center" vertical="center" wrapText="1"/>
    </xf>
    <xf numFmtId="0" fontId="20" fillId="5" borderId="65" xfId="0" applyFont="1" applyFill="1" applyBorder="1" applyAlignment="1">
      <alignment horizontal="center" vertical="center" wrapText="1"/>
    </xf>
    <xf numFmtId="0" fontId="20" fillId="5" borderId="67" xfId="0" applyFont="1" applyFill="1" applyBorder="1" applyAlignment="1">
      <alignment horizontal="center" vertical="center" wrapText="1"/>
    </xf>
    <xf numFmtId="0" fontId="20" fillId="5" borderId="55" xfId="0" applyFont="1" applyFill="1" applyBorder="1" applyAlignment="1">
      <alignment horizontal="center" vertical="center" wrapText="1"/>
    </xf>
    <xf numFmtId="0" fontId="20" fillId="5" borderId="68" xfId="0" applyFont="1" applyFill="1" applyBorder="1" applyAlignment="1">
      <alignment horizontal="center" vertical="center" wrapText="1"/>
    </xf>
    <xf numFmtId="0" fontId="24" fillId="2" borderId="46" xfId="0" applyFont="1" applyFill="1" applyBorder="1" applyAlignment="1">
      <alignment horizontal="center" vertical="center"/>
    </xf>
    <xf numFmtId="0" fontId="24" fillId="2" borderId="13" xfId="0" applyFont="1" applyFill="1" applyBorder="1" applyAlignment="1">
      <alignment horizontal="center" vertical="center"/>
    </xf>
    <xf numFmtId="0" fontId="24" fillId="2" borderId="36" xfId="0" applyFont="1" applyFill="1" applyBorder="1" applyAlignment="1">
      <alignment horizontal="center" vertical="center"/>
    </xf>
    <xf numFmtId="0" fontId="20" fillId="5" borderId="3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19" fillId="0" borderId="63" xfId="0" applyFont="1" applyBorder="1" applyAlignment="1">
      <alignment horizontal="left" vertical="center"/>
    </xf>
    <xf numFmtId="0" fontId="19" fillId="0" borderId="0" xfId="0" applyFont="1" applyAlignment="1">
      <alignment horizontal="left" vertical="center"/>
    </xf>
    <xf numFmtId="0" fontId="19" fillId="0" borderId="64" xfId="0" applyFont="1" applyBorder="1" applyAlignment="1">
      <alignment horizontal="left" vertical="center"/>
    </xf>
    <xf numFmtId="0" fontId="20" fillId="20" borderId="67" xfId="0" applyFont="1" applyFill="1" applyBorder="1" applyAlignment="1">
      <alignment horizontal="center" vertical="center" wrapText="1"/>
    </xf>
    <xf numFmtId="0" fontId="21" fillId="19" borderId="18" xfId="0" applyFont="1" applyFill="1" applyBorder="1" applyAlignment="1">
      <alignment horizontal="center" vertical="center"/>
    </xf>
    <xf numFmtId="0" fontId="24" fillId="2" borderId="43" xfId="0"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59" xfId="0" applyFont="1" applyFill="1" applyBorder="1" applyAlignment="1">
      <alignment horizontal="center" vertical="center" wrapText="1"/>
    </xf>
    <xf numFmtId="0" fontId="24" fillId="2" borderId="68" xfId="0" applyFont="1" applyFill="1" applyBorder="1" applyAlignment="1">
      <alignment horizontal="center" vertical="center" wrapText="1"/>
    </xf>
    <xf numFmtId="0" fontId="24" fillId="16" borderId="34" xfId="0" applyFont="1" applyFill="1" applyBorder="1" applyAlignment="1">
      <alignment horizontal="center" vertical="center" wrapText="1"/>
    </xf>
    <xf numFmtId="0" fontId="24" fillId="16" borderId="69" xfId="0" applyFont="1" applyFill="1" applyBorder="1" applyAlignment="1">
      <alignment horizontal="center" vertical="center" wrapText="1"/>
    </xf>
    <xf numFmtId="0" fontId="24" fillId="16" borderId="60" xfId="0" applyFont="1" applyFill="1" applyBorder="1" applyAlignment="1">
      <alignment horizontal="center" vertical="center" wrapText="1"/>
    </xf>
    <xf numFmtId="0" fontId="24" fillId="16" borderId="67" xfId="0" applyFont="1" applyFill="1" applyBorder="1" applyAlignment="1">
      <alignment horizontal="center" vertical="center" wrapText="1"/>
    </xf>
    <xf numFmtId="0" fontId="24" fillId="2" borderId="34" xfId="0" applyFont="1" applyFill="1" applyBorder="1" applyAlignment="1">
      <alignment horizontal="center" vertical="center" wrapText="1"/>
    </xf>
    <xf numFmtId="0" fontId="24" fillId="2" borderId="69" xfId="0" applyFont="1" applyFill="1" applyBorder="1" applyAlignment="1">
      <alignment horizontal="center" vertical="center" wrapText="1"/>
    </xf>
    <xf numFmtId="0" fontId="15" fillId="0" borderId="0" xfId="0" applyFont="1" applyAlignment="1" applyProtection="1">
      <alignment horizontal="center" vertical="center"/>
      <protection locked="0"/>
    </xf>
    <xf numFmtId="0" fontId="15" fillId="0" borderId="0" xfId="0" applyFont="1" applyAlignment="1" applyProtection="1">
      <alignment horizontal="center"/>
      <protection locked="0"/>
    </xf>
    <xf numFmtId="0" fontId="11" fillId="2" borderId="0" xfId="0" applyFont="1" applyFill="1" applyAlignment="1">
      <alignment horizontal="left" vertical="center"/>
    </xf>
    <xf numFmtId="0" fontId="36" fillId="2" borderId="0" xfId="0" applyFont="1" applyFill="1" applyAlignment="1">
      <alignment horizontal="center" vertical="center" wrapText="1"/>
    </xf>
    <xf numFmtId="0" fontId="14" fillId="0" borderId="0" xfId="0" applyFont="1" applyAlignment="1">
      <alignment horizontal="center"/>
    </xf>
    <xf numFmtId="0" fontId="36" fillId="2" borderId="48" xfId="0" applyFont="1" applyFill="1" applyBorder="1" applyAlignment="1">
      <alignment horizontal="center" vertical="center" wrapText="1"/>
    </xf>
    <xf numFmtId="0" fontId="17" fillId="0" borderId="0" xfId="0" applyFont="1" applyAlignment="1">
      <alignment horizontal="center"/>
    </xf>
    <xf numFmtId="0" fontId="11" fillId="2" borderId="0" xfId="0" applyFont="1" applyFill="1" applyAlignment="1">
      <alignment horizontal="center"/>
    </xf>
    <xf numFmtId="0" fontId="11" fillId="2" borderId="37" xfId="0" applyFont="1" applyFill="1" applyBorder="1" applyAlignment="1">
      <alignment horizontal="center"/>
    </xf>
    <xf numFmtId="0" fontId="20" fillId="20" borderId="56" xfId="0" applyFont="1" applyFill="1" applyBorder="1" applyAlignment="1">
      <alignment horizontal="center" vertical="center" wrapText="1"/>
    </xf>
    <xf numFmtId="0" fontId="20" fillId="20" borderId="5"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24" fillId="2" borderId="70" xfId="0" applyFont="1" applyFill="1" applyBorder="1" applyAlignment="1">
      <alignment horizontal="center" vertical="center" wrapText="1"/>
    </xf>
    <xf numFmtId="0" fontId="19" fillId="0" borderId="56" xfId="0" applyFont="1" applyBorder="1" applyAlignment="1">
      <alignment horizontal="left" vertical="center"/>
    </xf>
    <xf numFmtId="0" fontId="19" fillId="0" borderId="37" xfId="0" applyFont="1" applyBorder="1" applyAlignment="1">
      <alignment horizontal="left" vertical="center"/>
    </xf>
    <xf numFmtId="0" fontId="19" fillId="0" borderId="62" xfId="0" applyFont="1" applyBorder="1" applyAlignment="1">
      <alignment horizontal="left" vertical="center"/>
    </xf>
    <xf numFmtId="0" fontId="20" fillId="20" borderId="38" xfId="0" applyFont="1" applyFill="1" applyBorder="1" applyAlignment="1">
      <alignment horizontal="center" vertical="center" wrapText="1"/>
    </xf>
  </cellXfs>
  <cellStyles count="5">
    <cellStyle name="Comma" xfId="4" builtinId="3"/>
    <cellStyle name="Currency" xfId="1" builtinId="4"/>
    <cellStyle name="Hyperlink" xfId="2" builtinId="8"/>
    <cellStyle name="Normal" xfId="0" builtinId="0"/>
    <cellStyle name="Percent" xfId="3" builtinId="5"/>
  </cellStyles>
  <dxfs count="0"/>
  <tableStyles count="0" defaultTableStyle="TableStyleMedium2" defaultPivotStyle="PivotStyleLight16"/>
  <colors>
    <mruColors>
      <color rgb="FFD45D00"/>
      <color rgb="FF003E51"/>
      <color rgb="FF605677"/>
      <color rgb="FF60605B"/>
      <color rgb="FF5E82A3"/>
      <color rgb="FFA2AE74"/>
      <color rgb="FF609191"/>
      <color rgb="FF204354"/>
      <color rgb="FFEEEEEE"/>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chartUserShapes" Target="../drawings/drawing9.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2.xml"/><Relationship Id="rId1" Type="http://schemas.microsoft.com/office/2011/relationships/chartStyle" Target="style12.xml"/><Relationship Id="rId4"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3.xml"/><Relationship Id="rId1" Type="http://schemas.microsoft.com/office/2011/relationships/chartStyle" Target="style23.xml"/><Relationship Id="rId4" Type="http://schemas.openxmlformats.org/officeDocument/2006/relationships/chartUserShapes" Target="../drawings/drawing17.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4.xml"/><Relationship Id="rId1" Type="http://schemas.microsoft.com/office/2011/relationships/chartStyle" Target="style24.xml"/><Relationship Id="rId4" Type="http://schemas.openxmlformats.org/officeDocument/2006/relationships/chartUserShapes" Target="../drawings/drawing18.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37.xml"/><Relationship Id="rId1" Type="http://schemas.microsoft.com/office/2011/relationships/chartStyle" Target="style37.xml"/><Relationship Id="rId4" Type="http://schemas.openxmlformats.org/officeDocument/2006/relationships/chartUserShapes" Target="../drawings/drawing26.xml"/></Relationships>
</file>

<file path=xl/charts/_rels/chart38.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38.xml"/><Relationship Id="rId1" Type="http://schemas.microsoft.com/office/2011/relationships/chartStyle" Target="style38.xml"/><Relationship Id="rId4" Type="http://schemas.openxmlformats.org/officeDocument/2006/relationships/chartUserShapes" Target="../drawings/drawing27.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51.xml"/><Relationship Id="rId1" Type="http://schemas.microsoft.com/office/2011/relationships/chartStyle" Target="style51.xml"/><Relationship Id="rId4" Type="http://schemas.openxmlformats.org/officeDocument/2006/relationships/chartUserShapes" Target="../drawings/drawing35.xml"/></Relationships>
</file>

<file path=xl/charts/_rels/chart52.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52.xml"/><Relationship Id="rId1" Type="http://schemas.microsoft.com/office/2011/relationships/chartStyle" Target="style52.xml"/><Relationship Id="rId4" Type="http://schemas.openxmlformats.org/officeDocument/2006/relationships/chartUserShapes" Target="../drawings/drawing36.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2779508914548357"/>
          <c:w val="0.87985636974531278"/>
          <c:h val="0.77032143707742484"/>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dPt>
            <c:idx val="3"/>
            <c:marker>
              <c:symbol val="none"/>
            </c:marker>
            <c:bubble3D val="0"/>
            <c:spPr>
              <a:ln w="28575" cap="rnd">
                <a:solidFill>
                  <a:srgbClr val="A2AE74"/>
                </a:solidFill>
                <a:round/>
              </a:ln>
              <a:effectLst/>
            </c:spPr>
            <c:extLst>
              <c:ext xmlns:c16="http://schemas.microsoft.com/office/drawing/2014/chart" uri="{C3380CC4-5D6E-409C-BE32-E72D297353CC}">
                <c16:uniqueId val="{00000007-2EC7-4418-903F-6F108D530CD4}"/>
              </c:ext>
            </c:extLst>
          </c:dPt>
          <c:dPt>
            <c:idx val="4"/>
            <c:marker>
              <c:symbol val="none"/>
            </c:marker>
            <c:bubble3D val="0"/>
            <c:extLst>
              <c:ext xmlns:c16="http://schemas.microsoft.com/office/drawing/2014/chart" uri="{C3380CC4-5D6E-409C-BE32-E72D297353CC}">
                <c16:uniqueId val="{00000008-2EC7-4418-903F-6F108D530CD4}"/>
              </c:ext>
            </c:extLst>
          </c:dPt>
          <c:dPt>
            <c:idx val="5"/>
            <c:marker>
              <c:symbol val="none"/>
            </c:marker>
            <c:bubble3D val="0"/>
            <c:spPr>
              <a:ln w="28575" cap="rnd">
                <a:solidFill>
                  <a:srgbClr val="A2AE74"/>
                </a:solidFill>
                <a:round/>
              </a:ln>
              <a:effectLst/>
            </c:spPr>
            <c:extLst>
              <c:ext xmlns:c16="http://schemas.microsoft.com/office/drawing/2014/chart" uri="{C3380CC4-5D6E-409C-BE32-E72D297353CC}">
                <c16:uniqueId val="{00000009-2EC7-4418-903F-6F108D530CD4}"/>
              </c:ext>
            </c:extLst>
          </c:dPt>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'2A'!$V$5:$V$25</c:f>
              <c:numCache>
                <c:formatCode>"$"#,##0.00</c:formatCode>
                <c:ptCount val="21"/>
                <c:pt idx="0">
                  <c:v>25.509733298740937</c:v>
                </c:pt>
                <c:pt idx="1">
                  <c:v>26.147476631209457</c:v>
                </c:pt>
                <c:pt idx="2">
                  <c:v>26.801163546989692</c:v>
                </c:pt>
                <c:pt idx="3">
                  <c:v>27.47119263566443</c:v>
                </c:pt>
                <c:pt idx="4">
                  <c:v>28.157972451556038</c:v>
                </c:pt>
                <c:pt idx="5">
                  <c:v>28.861921762844936</c:v>
                </c:pt>
                <c:pt idx="6">
                  <c:v>29.583469806916057</c:v>
                </c:pt>
                <c:pt idx="7">
                  <c:v>30.323056552088957</c:v>
                </c:pt>
                <c:pt idx="8">
                  <c:v>31.081132965891179</c:v>
                </c:pt>
                <c:pt idx="9">
                  <c:v>31.858161290038456</c:v>
                </c:pt>
                <c:pt idx="10">
                  <c:v>32.654615322289416</c:v>
                </c:pt>
                <c:pt idx="11">
                  <c:v>33.470980705346648</c:v>
                </c:pt>
                <c:pt idx="12">
                  <c:v>34.307755222980312</c:v>
                </c:pt>
                <c:pt idx="13">
                  <c:v>35.165449103554813</c:v>
                </c:pt>
                <c:pt idx="14">
                  <c:v>36.044585331143679</c:v>
                </c:pt>
                <c:pt idx="15">
                  <c:v>36.945699964422268</c:v>
                </c:pt>
                <c:pt idx="16">
                  <c:v>37.869342463532824</c:v>
                </c:pt>
                <c:pt idx="17">
                  <c:v>38.816076025121141</c:v>
                </c:pt>
                <c:pt idx="18">
                  <c:v>39.786477925749168</c:v>
                </c:pt>
                <c:pt idx="19">
                  <c:v>40.78113987389289</c:v>
                </c:pt>
                <c:pt idx="20">
                  <c:v>41.800668370740212</c:v>
                </c:pt>
              </c:numCache>
            </c:numRef>
          </c:val>
          <c:smooth val="0"/>
          <c:extLst>
            <c:ext xmlns:c16="http://schemas.microsoft.com/office/drawing/2014/chart" uri="{C3380CC4-5D6E-409C-BE32-E72D297353CC}">
              <c16:uniqueId val="{00000000-2EC7-4418-903F-6F108D530CD4}"/>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'2A'!$W$5:$W$25</c:f>
              <c:numCache>
                <c:formatCode>"$"#,##0.00</c:formatCode>
                <c:ptCount val="21"/>
                <c:pt idx="0">
                  <c:v>31.926845238095243</c:v>
                </c:pt>
                <c:pt idx="1">
                  <c:v>32.725016369047623</c:v>
                </c:pt>
                <c:pt idx="2">
                  <c:v>33.543141778273814</c:v>
                </c:pt>
                <c:pt idx="3">
                  <c:v>34.381720322730658</c:v>
                </c:pt>
                <c:pt idx="4">
                  <c:v>35.241263330798922</c:v>
                </c:pt>
                <c:pt idx="5">
                  <c:v>36.122294914068895</c:v>
                </c:pt>
                <c:pt idx="6">
                  <c:v>37.025352286920615</c:v>
                </c:pt>
                <c:pt idx="7">
                  <c:v>37.950986094093629</c:v>
                </c:pt>
                <c:pt idx="8">
                  <c:v>38.899760746445963</c:v>
                </c:pt>
                <c:pt idx="9">
                  <c:v>39.872254765107108</c:v>
                </c:pt>
                <c:pt idx="10">
                  <c:v>40.869061134234784</c:v>
                </c:pt>
                <c:pt idx="11">
                  <c:v>41.890787662590647</c:v>
                </c:pt>
                <c:pt idx="12">
                  <c:v>42.938057354155411</c:v>
                </c:pt>
                <c:pt idx="13">
                  <c:v>44.011508788009294</c:v>
                </c:pt>
                <c:pt idx="14">
                  <c:v>45.111796507709521</c:v>
                </c:pt>
                <c:pt idx="15">
                  <c:v>46.239591420402256</c:v>
                </c:pt>
                <c:pt idx="16">
                  <c:v>47.395581205912308</c:v>
                </c:pt>
                <c:pt idx="17">
                  <c:v>48.580470736060114</c:v>
                </c:pt>
                <c:pt idx="18">
                  <c:v>49.794982504461615</c:v>
                </c:pt>
                <c:pt idx="19">
                  <c:v>51.03985706707315</c:v>
                </c:pt>
                <c:pt idx="20">
                  <c:v>52.315853493749977</c:v>
                </c:pt>
              </c:numCache>
            </c:numRef>
          </c:val>
          <c:smooth val="0"/>
          <c:extLst>
            <c:ext xmlns:c16="http://schemas.microsoft.com/office/drawing/2014/chart" uri="{C3380CC4-5D6E-409C-BE32-E72D297353CC}">
              <c16:uniqueId val="{00000001-2EC7-4418-903F-6F108D530CD4}"/>
            </c:ext>
          </c:extLst>
        </c:ser>
        <c:ser>
          <c:idx val="2"/>
          <c:order val="2"/>
          <c:tx>
            <c:strRef>
              <c:f>'2A'!$X$4</c:f>
              <c:strCache>
                <c:ptCount val="1"/>
                <c:pt idx="0">
                  <c:v>AA</c:v>
                </c:pt>
              </c:strCache>
            </c:strRef>
          </c:tx>
          <c:spPr>
            <a:ln w="28575" cap="rnd">
              <a:solidFill>
                <a:schemeClr val="accent4"/>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'2A'!$X$5:$X$25</c:f>
              <c:numCache>
                <c:formatCode>"$"#,##0.00</c:formatCode>
                <c:ptCount val="21"/>
                <c:pt idx="0">
                  <c:v>35.119529761904772</c:v>
                </c:pt>
                <c:pt idx="1">
                  <c:v>35.997518005952386</c:v>
                </c:pt>
                <c:pt idx="2">
                  <c:v>36.89745595610119</c:v>
                </c:pt>
                <c:pt idx="3">
                  <c:v>37.819892355003716</c:v>
                </c:pt>
                <c:pt idx="4">
                  <c:v>38.765389663878807</c:v>
                </c:pt>
                <c:pt idx="5">
                  <c:v>39.734524405475774</c:v>
                </c:pt>
                <c:pt idx="6">
                  <c:v>40.727887515612665</c:v>
                </c:pt>
                <c:pt idx="7">
                  <c:v>41.74608470350298</c:v>
                </c:pt>
                <c:pt idx="8">
                  <c:v>42.78973682109055</c:v>
                </c:pt>
                <c:pt idx="9">
                  <c:v>43.85948024161781</c:v>
                </c:pt>
                <c:pt idx="10">
                  <c:v>44.955967247658251</c:v>
                </c:pt>
                <c:pt idx="11">
                  <c:v>46.079866428849705</c:v>
                </c:pt>
                <c:pt idx="12">
                  <c:v>47.231863089570943</c:v>
                </c:pt>
                <c:pt idx="13">
                  <c:v>48.412659666810214</c:v>
                </c:pt>
                <c:pt idx="14">
                  <c:v>49.622976158480462</c:v>
                </c:pt>
                <c:pt idx="15">
                  <c:v>50.86355056244247</c:v>
                </c:pt>
                <c:pt idx="16">
                  <c:v>52.135139326503527</c:v>
                </c:pt>
                <c:pt idx="17">
                  <c:v>53.438517809666109</c:v>
                </c:pt>
                <c:pt idx="18">
                  <c:v>54.774480754907756</c:v>
                </c:pt>
                <c:pt idx="19">
                  <c:v>56.143842773780449</c:v>
                </c:pt>
                <c:pt idx="20">
                  <c:v>57.547438843124958</c:v>
                </c:pt>
              </c:numCache>
            </c:numRef>
          </c:val>
          <c:smooth val="0"/>
          <c:extLst>
            <c:ext xmlns:c16="http://schemas.microsoft.com/office/drawing/2014/chart" uri="{C3380CC4-5D6E-409C-BE32-E72D297353CC}">
              <c16:uniqueId val="{00000002-2EC7-4418-903F-6F108D530CD4}"/>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'2A'!$Y$5:$Y$25</c:f>
              <c:numCache>
                <c:formatCode>"$"#,##0.00</c:formatCode>
                <c:ptCount val="21"/>
                <c:pt idx="0">
                  <c:v>38.631482738095251</c:v>
                </c:pt>
                <c:pt idx="1">
                  <c:v>39.597269806547629</c:v>
                </c:pt>
                <c:pt idx="2">
                  <c:v>40.587201551711317</c:v>
                </c:pt>
                <c:pt idx="3">
                  <c:v>41.6018815905041</c:v>
                </c:pt>
                <c:pt idx="4">
                  <c:v>42.641928630266698</c:v>
                </c:pt>
                <c:pt idx="5">
                  <c:v>43.707976846023364</c:v>
                </c:pt>
                <c:pt idx="6">
                  <c:v>44.800676267173941</c:v>
                </c:pt>
                <c:pt idx="7">
                  <c:v>45.920693173853287</c:v>
                </c:pt>
                <c:pt idx="8">
                  <c:v>47.068710503199618</c:v>
                </c:pt>
                <c:pt idx="9">
                  <c:v>48.245428265779601</c:v>
                </c:pt>
                <c:pt idx="10">
                  <c:v>49.45156397242409</c:v>
                </c:pt>
                <c:pt idx="11">
                  <c:v>50.687853071734686</c:v>
                </c:pt>
                <c:pt idx="12">
                  <c:v>51.955049398528047</c:v>
                </c:pt>
                <c:pt idx="13">
                  <c:v>53.253925633491242</c:v>
                </c:pt>
                <c:pt idx="14">
                  <c:v>54.58527377432852</c:v>
                </c:pt>
                <c:pt idx="15">
                  <c:v>55.949905618686728</c:v>
                </c:pt>
                <c:pt idx="16">
                  <c:v>57.348653259153892</c:v>
                </c:pt>
                <c:pt idx="17">
                  <c:v>58.782369590632733</c:v>
                </c:pt>
                <c:pt idx="18">
                  <c:v>60.251928830398548</c:v>
                </c:pt>
                <c:pt idx="19">
                  <c:v>61.758227051158507</c:v>
                </c:pt>
                <c:pt idx="20">
                  <c:v>63.302182727437462</c:v>
                </c:pt>
              </c:numCache>
            </c:numRef>
          </c:val>
          <c:smooth val="0"/>
          <c:extLst>
            <c:ext xmlns:c16="http://schemas.microsoft.com/office/drawing/2014/chart" uri="{C3380CC4-5D6E-409C-BE32-E72D297353CC}">
              <c16:uniqueId val="{00000003-2EC7-4418-903F-6F108D530CD4}"/>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'2A'!$Z$5:$Z$25</c:f>
              <c:numCache>
                <c:formatCode>"$"#,##0.00</c:formatCode>
                <c:ptCount val="21"/>
                <c:pt idx="0">
                  <c:v>42.494631011904779</c:v>
                </c:pt>
                <c:pt idx="1">
                  <c:v>43.556996787202394</c:v>
                </c:pt>
                <c:pt idx="2">
                  <c:v>44.645921706882447</c:v>
                </c:pt>
                <c:pt idx="3">
                  <c:v>45.762069749554506</c:v>
                </c:pt>
                <c:pt idx="4">
                  <c:v>46.906121493293362</c:v>
                </c:pt>
                <c:pt idx="5">
                  <c:v>48.078774530625694</c:v>
                </c:pt>
                <c:pt idx="6">
                  <c:v>49.280743893891334</c:v>
                </c:pt>
                <c:pt idx="7">
                  <c:v>50.512762491238611</c:v>
                </c:pt>
                <c:pt idx="8">
                  <c:v>51.775581553519572</c:v>
                </c:pt>
                <c:pt idx="9">
                  <c:v>53.069971092357555</c:v>
                </c:pt>
                <c:pt idx="10">
                  <c:v>54.39672036966649</c:v>
                </c:pt>
                <c:pt idx="11">
                  <c:v>55.75663837890815</c:v>
                </c:pt>
                <c:pt idx="12">
                  <c:v>57.15055433838085</c:v>
                </c:pt>
                <c:pt idx="13">
                  <c:v>58.579318196840369</c:v>
                </c:pt>
                <c:pt idx="14">
                  <c:v>60.043801151761372</c:v>
                </c:pt>
                <c:pt idx="15">
                  <c:v>61.544896180555398</c:v>
                </c:pt>
                <c:pt idx="16">
                  <c:v>63.083518585069278</c:v>
                </c:pt>
                <c:pt idx="17">
                  <c:v>64.660606549695999</c:v>
                </c:pt>
                <c:pt idx="18">
                  <c:v>66.27712171343839</c:v>
                </c:pt>
                <c:pt idx="19">
                  <c:v>67.934049756274348</c:v>
                </c:pt>
                <c:pt idx="20">
                  <c:v>69.632401000181204</c:v>
                </c:pt>
              </c:numCache>
            </c:numRef>
          </c:val>
          <c:smooth val="0"/>
          <c:extLst>
            <c:ext xmlns:c16="http://schemas.microsoft.com/office/drawing/2014/chart" uri="{C3380CC4-5D6E-409C-BE32-E72D297353CC}">
              <c16:uniqueId val="{00000004-2EC7-4418-903F-6F108D530CD4}"/>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'2A'!$AA$5:$AA$25</c:f>
              <c:numCache>
                <c:formatCode>"$"#,##0.00</c:formatCode>
                <c:ptCount val="21"/>
                <c:pt idx="0">
                  <c:v>46.744094113095258</c:v>
                </c:pt>
                <c:pt idx="1">
                  <c:v>47.912696465922636</c:v>
                </c:pt>
                <c:pt idx="2">
                  <c:v>49.110513877570696</c:v>
                </c:pt>
                <c:pt idx="3">
                  <c:v>50.33827672450996</c:v>
                </c:pt>
                <c:pt idx="4">
                  <c:v>51.596733642622702</c:v>
                </c:pt>
                <c:pt idx="5">
                  <c:v>52.886651983688267</c:v>
                </c:pt>
                <c:pt idx="6">
                  <c:v>54.208818283280472</c:v>
                </c:pt>
                <c:pt idx="7">
                  <c:v>55.564038740362477</c:v>
                </c:pt>
                <c:pt idx="8">
                  <c:v>56.953139708871532</c:v>
                </c:pt>
                <c:pt idx="9">
                  <c:v>58.376968201593314</c:v>
                </c:pt>
                <c:pt idx="10">
                  <c:v>59.836392406633145</c:v>
                </c:pt>
                <c:pt idx="11">
                  <c:v>61.332302216798965</c:v>
                </c:pt>
                <c:pt idx="12">
                  <c:v>62.865609772218932</c:v>
                </c:pt>
                <c:pt idx="13">
                  <c:v>64.437250016524402</c:v>
                </c:pt>
                <c:pt idx="14">
                  <c:v>66.048181266937505</c:v>
                </c:pt>
                <c:pt idx="15">
                  <c:v>67.699385798610933</c:v>
                </c:pt>
                <c:pt idx="16">
                  <c:v>69.391870443576195</c:v>
                </c:pt>
                <c:pt idx="17">
                  <c:v>71.126667204665594</c:v>
                </c:pt>
                <c:pt idx="18">
                  <c:v>72.904833884782221</c:v>
                </c:pt>
                <c:pt idx="19">
                  <c:v>74.727454731901773</c:v>
                </c:pt>
                <c:pt idx="20">
                  <c:v>76.595641100199316</c:v>
                </c:pt>
              </c:numCache>
            </c:numRef>
          </c:val>
          <c:smooth val="0"/>
          <c:extLst>
            <c:ext xmlns:c16="http://schemas.microsoft.com/office/drawing/2014/chart" uri="{C3380CC4-5D6E-409C-BE32-E72D297353CC}">
              <c16:uniqueId val="{00000005-2EC7-4418-903F-6F108D530CD4}"/>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40928068030584"/>
              <c:y val="0.9500044108772036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0"/>
          <c:min val="2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0200847784230408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'2E'!$C$5:$D$5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'2E'!$C$7:$C$16</c:f>
              <c:strCache>
                <c:ptCount val="10"/>
                <c:pt idx="0">
                  <c:v>Preschool Teachers</c:v>
                </c:pt>
                <c:pt idx="1">
                  <c:v>Teaching Assistants</c:v>
                </c:pt>
                <c:pt idx="2">
                  <c:v>Social and Human Service Assistants</c:v>
                </c:pt>
                <c:pt idx="3">
                  <c:v>Managers</c:v>
                </c:pt>
                <c:pt idx="4">
                  <c:v>Elementary School Teachers</c:v>
                </c:pt>
                <c:pt idx="5">
                  <c:v>Postsecondary Teachers</c:v>
                </c:pt>
                <c:pt idx="6">
                  <c:v>Secretaries and Admin. Assistants</c:v>
                </c:pt>
                <c:pt idx="7">
                  <c:v>Customer Service Representatives</c:v>
                </c:pt>
                <c:pt idx="8">
                  <c:v>Secondary School Teachers</c:v>
                </c:pt>
                <c:pt idx="9">
                  <c:v>Supervisors of Office and Admin. Support Occupations</c:v>
                </c:pt>
              </c:strCache>
            </c:strRef>
          </c:cat>
          <c:val>
            <c:numRef>
              <c:f>'2E'!$D$7:$D$16</c:f>
              <c:numCache>
                <c:formatCode>0.0%</c:formatCode>
                <c:ptCount val="10"/>
                <c:pt idx="0">
                  <c:v>0.14957575757575758</c:v>
                </c:pt>
                <c:pt idx="1">
                  <c:v>0.14420202020202019</c:v>
                </c:pt>
                <c:pt idx="2">
                  <c:v>0.11305050505050505</c:v>
                </c:pt>
                <c:pt idx="3">
                  <c:v>0.10153535353535353</c:v>
                </c:pt>
                <c:pt idx="4">
                  <c:v>0.1</c:v>
                </c:pt>
                <c:pt idx="5">
                  <c:v>9.2767676767676763E-2</c:v>
                </c:pt>
                <c:pt idx="6">
                  <c:v>8.7434343434343434E-2</c:v>
                </c:pt>
                <c:pt idx="7">
                  <c:v>7.1797979797979791E-2</c:v>
                </c:pt>
                <c:pt idx="8">
                  <c:v>7.1313131313131314E-2</c:v>
                </c:pt>
                <c:pt idx="9">
                  <c:v>6.8323232323232327E-2</c:v>
                </c:pt>
              </c:numCache>
            </c:numRef>
          </c:val>
          <c:extLst>
            <c:ext xmlns:c16="http://schemas.microsoft.com/office/drawing/2014/chart" uri="{C3380CC4-5D6E-409C-BE32-E72D297353CC}">
              <c16:uniqueId val="{00000000-5F7B-4FBA-B7D9-D5D0C2E3DAD3}"/>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25"/>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'2D'!$A$11</c:f>
              <c:strCache>
                <c:ptCount val="1"/>
                <c:pt idx="0">
                  <c:v>Michigan</c:v>
                </c:pt>
              </c:strCache>
            </c:strRef>
          </c:tx>
          <c:spPr>
            <a:ln w="28575" cap="rnd">
              <a:solidFill>
                <a:srgbClr val="D45D00"/>
              </a:solidFill>
              <a:round/>
            </a:ln>
            <a:effectLst/>
          </c:spPr>
          <c:marker>
            <c:symbol val="none"/>
          </c:marker>
          <c:cat>
            <c:numRef>
              <c:f>'2D'!$B$10:$W$10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'2D'!$B$11:$W$11</c:f>
              <c:numCache>
                <c:formatCode>0.0%</c:formatCode>
                <c:ptCount val="22"/>
                <c:pt idx="0">
                  <c:v>0</c:v>
                </c:pt>
                <c:pt idx="1">
                  <c:v>1.7847445180070715E-2</c:v>
                </c:pt>
                <c:pt idx="2">
                  <c:v>1.9798969867910465E-2</c:v>
                </c:pt>
                <c:pt idx="3">
                  <c:v>9.9724359054114489E-3</c:v>
                </c:pt>
                <c:pt idx="4">
                  <c:v>1.1145175712462107E-2</c:v>
                </c:pt>
                <c:pt idx="5">
                  <c:v>2.0266771281965777E-2</c:v>
                </c:pt>
                <c:pt idx="6">
                  <c:v>1.8753670565217671E-2</c:v>
                </c:pt>
                <c:pt idx="7">
                  <c:v>9.2477621443715179E-3</c:v>
                </c:pt>
                <c:pt idx="8">
                  <c:v>-1.4018547029773008E-2</c:v>
                </c:pt>
                <c:pt idx="9">
                  <c:v>-3.7182737969035123E-2</c:v>
                </c:pt>
                <c:pt idx="10">
                  <c:v>-8.0409276982163672E-2</c:v>
                </c:pt>
                <c:pt idx="11">
                  <c:v>-0.10461428836405151</c:v>
                </c:pt>
                <c:pt idx="12">
                  <c:v>-9.0989247402495518E-2</c:v>
                </c:pt>
                <c:pt idx="13">
                  <c:v>-9.5986294109940834E-2</c:v>
                </c:pt>
                <c:pt idx="14">
                  <c:v>-4.6123250150641566E-2</c:v>
                </c:pt>
                <c:pt idx="15">
                  <c:v>2.1618551171086148E-2</c:v>
                </c:pt>
                <c:pt idx="16">
                  <c:v>0.10425999071854927</c:v>
                </c:pt>
                <c:pt idx="17">
                  <c:v>0.13109510804227403</c:v>
                </c:pt>
                <c:pt idx="18">
                  <c:v>0.16017978046138734</c:v>
                </c:pt>
                <c:pt idx="19">
                  <c:v>-2.9703755584866133E-2</c:v>
                </c:pt>
                <c:pt idx="20">
                  <c:v>-1.0432724006195455E-4</c:v>
                </c:pt>
                <c:pt idx="21">
                  <c:v>2.3581134832565114E-2</c:v>
                </c:pt>
              </c:numCache>
            </c:numRef>
          </c:val>
          <c:smooth val="0"/>
          <c:extLst>
            <c:ext xmlns:c16="http://schemas.microsoft.com/office/drawing/2014/chart" uri="{C3380CC4-5D6E-409C-BE32-E72D297353CC}">
              <c16:uniqueId val="{00000000-ACD2-442D-8F7B-18A2BB441A84}"/>
            </c:ext>
          </c:extLst>
        </c:ser>
        <c:ser>
          <c:idx val="1"/>
          <c:order val="1"/>
          <c:tx>
            <c:strRef>
              <c:f>'2D'!$A$12</c:f>
              <c:strCache>
                <c:ptCount val="1"/>
                <c:pt idx="0">
                  <c:v>United States</c:v>
                </c:pt>
              </c:strCache>
            </c:strRef>
          </c:tx>
          <c:spPr>
            <a:ln w="28575" cap="rnd">
              <a:solidFill>
                <a:srgbClr val="003E51"/>
              </a:solidFill>
              <a:round/>
            </a:ln>
            <a:effectLst/>
          </c:spPr>
          <c:marker>
            <c:symbol val="none"/>
          </c:marker>
          <c:cat>
            <c:numRef>
              <c:f>'2D'!$B$10:$W$10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'2D'!$B$12:$W$12</c:f>
              <c:numCache>
                <c:formatCode>0.0%</c:formatCode>
                <c:ptCount val="22"/>
                <c:pt idx="0">
                  <c:v>0</c:v>
                </c:pt>
                <c:pt idx="1">
                  <c:v>3.3312888139231771E-2</c:v>
                </c:pt>
                <c:pt idx="2">
                  <c:v>4.7321839300774361E-2</c:v>
                </c:pt>
                <c:pt idx="3">
                  <c:v>5.1299068465843749E-2</c:v>
                </c:pt>
                <c:pt idx="4">
                  <c:v>6.2361036571340948E-2</c:v>
                </c:pt>
                <c:pt idx="5">
                  <c:v>0.10321388867591812</c:v>
                </c:pt>
                <c:pt idx="6">
                  <c:v>0.15439316108257303</c:v>
                </c:pt>
                <c:pt idx="7">
                  <c:v>0.17591332515525571</c:v>
                </c:pt>
                <c:pt idx="8">
                  <c:v>0.15261059572184313</c:v>
                </c:pt>
                <c:pt idx="9">
                  <c:v>0.10796739630453117</c:v>
                </c:pt>
                <c:pt idx="10">
                  <c:v>3.6899582151345547E-2</c:v>
                </c:pt>
                <c:pt idx="11">
                  <c:v>0.10689881545656674</c:v>
                </c:pt>
                <c:pt idx="12">
                  <c:v>4.7671643793605764E-2</c:v>
                </c:pt>
                <c:pt idx="13">
                  <c:v>5.3457793452426586E-2</c:v>
                </c:pt>
                <c:pt idx="14">
                  <c:v>9.1440331978839218E-2</c:v>
                </c:pt>
                <c:pt idx="15">
                  <c:v>0.1299236180326612</c:v>
                </c:pt>
                <c:pt idx="16">
                  <c:v>0.18739457946791382</c:v>
                </c:pt>
                <c:pt idx="17">
                  <c:v>0.21872604078816224</c:v>
                </c:pt>
                <c:pt idx="18">
                  <c:v>0.25828749137468376</c:v>
                </c:pt>
                <c:pt idx="19">
                  <c:v>0.10035555470367247</c:v>
                </c:pt>
                <c:pt idx="20">
                  <c:v>0.16092204630836465</c:v>
                </c:pt>
                <c:pt idx="21">
                  <c:v>0.21309083416391936</c:v>
                </c:pt>
              </c:numCache>
            </c:numRef>
          </c:val>
          <c:smooth val="0"/>
          <c:extLst>
            <c:ext xmlns:c16="http://schemas.microsoft.com/office/drawing/2014/chart" uri="{C3380CC4-5D6E-409C-BE32-E72D297353CC}">
              <c16:uniqueId val="{00000001-ACD2-442D-8F7B-18A2BB441A84}"/>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79142226966551232"/>
        </c:manualLayout>
      </c:layout>
      <c:lineChart>
        <c:grouping val="standard"/>
        <c:varyColors val="0"/>
        <c:ser>
          <c:idx val="0"/>
          <c:order val="0"/>
          <c:tx>
            <c:strRef>
              <c:f>'2D'!$A$22</c:f>
              <c:strCache>
                <c:ptCount val="1"/>
                <c:pt idx="0">
                  <c:v>Michigan </c:v>
                </c:pt>
              </c:strCache>
            </c:strRef>
          </c:tx>
          <c:spPr>
            <a:ln w="28575" cap="rnd">
              <a:solidFill>
                <a:srgbClr val="D45D00"/>
              </a:solidFill>
              <a:round/>
            </a:ln>
            <a:effectLst/>
          </c:spPr>
          <c:marker>
            <c:symbol val="none"/>
          </c:marker>
          <c:cat>
            <c:numRef>
              <c:f>'2D'!$B$21:$S$21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'2D'!$B$22:$S$22</c:f>
              <c:numCache>
                <c:formatCode>0.0%</c:formatCode>
                <c:ptCount val="18"/>
                <c:pt idx="0">
                  <c:v>0</c:v>
                </c:pt>
                <c:pt idx="1">
                  <c:v>6.4528136918563059E-2</c:v>
                </c:pt>
                <c:pt idx="2">
                  <c:v>0.12550245661815695</c:v>
                </c:pt>
                <c:pt idx="3">
                  <c:v>0.12252526751412524</c:v>
                </c:pt>
                <c:pt idx="4">
                  <c:v>0.13342355711716858</c:v>
                </c:pt>
                <c:pt idx="5">
                  <c:v>0.11292958940545873</c:v>
                </c:pt>
                <c:pt idx="6">
                  <c:v>0.23528954250271072</c:v>
                </c:pt>
                <c:pt idx="7">
                  <c:v>0.19160978774165338</c:v>
                </c:pt>
                <c:pt idx="8">
                  <c:v>0.14478195933577856</c:v>
                </c:pt>
                <c:pt idx="9">
                  <c:v>9.8652583235818853E-2</c:v>
                </c:pt>
                <c:pt idx="10">
                  <c:v>0.10816628124262403</c:v>
                </c:pt>
                <c:pt idx="11">
                  <c:v>0.10800509776243659</c:v>
                </c:pt>
                <c:pt idx="12">
                  <c:v>0.16062735626277938</c:v>
                </c:pt>
                <c:pt idx="13">
                  <c:v>0.25515244225888956</c:v>
                </c:pt>
                <c:pt idx="14">
                  <c:v>0.2339072078363455</c:v>
                </c:pt>
                <c:pt idx="15">
                  <c:v>0.20993301012931767</c:v>
                </c:pt>
                <c:pt idx="16">
                  <c:v>0.19732251542502241</c:v>
                </c:pt>
                <c:pt idx="17">
                  <c:v>0.34164475351967966</c:v>
                </c:pt>
              </c:numCache>
            </c:numRef>
          </c:val>
          <c:smooth val="0"/>
          <c:extLst>
            <c:ext xmlns:c16="http://schemas.microsoft.com/office/drawing/2014/chart" uri="{C3380CC4-5D6E-409C-BE32-E72D297353CC}">
              <c16:uniqueId val="{00000000-882D-45CF-921E-994BB1E99697}"/>
            </c:ext>
          </c:extLst>
        </c:ser>
        <c:ser>
          <c:idx val="1"/>
          <c:order val="1"/>
          <c:tx>
            <c:strRef>
              <c:f>'2D'!$A$23</c:f>
              <c:strCache>
                <c:ptCount val="1"/>
                <c:pt idx="0">
                  <c:v>United States</c:v>
                </c:pt>
              </c:strCache>
            </c:strRef>
          </c:tx>
          <c:spPr>
            <a:ln w="28575" cap="rnd">
              <a:solidFill>
                <a:srgbClr val="003E51"/>
              </a:solidFill>
              <a:round/>
            </a:ln>
            <a:effectLst/>
          </c:spPr>
          <c:marker>
            <c:symbol val="none"/>
          </c:marker>
          <c:cat>
            <c:numRef>
              <c:f>'2D'!$B$21:$S$21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'2D'!$B$23:$S$23</c:f>
              <c:numCache>
                <c:formatCode>0.0%</c:formatCode>
                <c:ptCount val="18"/>
                <c:pt idx="0">
                  <c:v>0</c:v>
                </c:pt>
                <c:pt idx="1">
                  <c:v>2.9175158508729496E-2</c:v>
                </c:pt>
                <c:pt idx="2">
                  <c:v>5.5776454276413291E-2</c:v>
                </c:pt>
                <c:pt idx="3">
                  <c:v>9.139412268446323E-2</c:v>
                </c:pt>
                <c:pt idx="4">
                  <c:v>0.11910252947501507</c:v>
                </c:pt>
                <c:pt idx="5">
                  <c:v>0.15740235131795224</c:v>
                </c:pt>
                <c:pt idx="6">
                  <c:v>0.1881498813516502</c:v>
                </c:pt>
                <c:pt idx="7">
                  <c:v>0.20575936703525671</c:v>
                </c:pt>
                <c:pt idx="8">
                  <c:v>0.22286811897209746</c:v>
                </c:pt>
                <c:pt idx="9">
                  <c:v>0.24252800759632134</c:v>
                </c:pt>
                <c:pt idx="10">
                  <c:v>0.26911365111614605</c:v>
                </c:pt>
                <c:pt idx="11">
                  <c:v>0.29608730245078441</c:v>
                </c:pt>
                <c:pt idx="12">
                  <c:v>0.32878867302751075</c:v>
                </c:pt>
                <c:pt idx="13">
                  <c:v>0.37359733022280672</c:v>
                </c:pt>
                <c:pt idx="14">
                  <c:v>0.41982793376923699</c:v>
                </c:pt>
                <c:pt idx="15">
                  <c:v>0.47607795198254477</c:v>
                </c:pt>
                <c:pt idx="16">
                  <c:v>0.48093556078764194</c:v>
                </c:pt>
                <c:pt idx="17">
                  <c:v>0.63017271267928177</c:v>
                </c:pt>
              </c:numCache>
            </c:numRef>
          </c:val>
          <c:smooth val="0"/>
          <c:extLst>
            <c:ext xmlns:c16="http://schemas.microsoft.com/office/drawing/2014/chart" uri="{C3380CC4-5D6E-409C-BE32-E72D297353CC}">
              <c16:uniqueId val="{00000001-882D-45CF-921E-994BB1E99697}"/>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740455904481891E-2"/>
          <c:y val="0.12381337038752507"/>
          <c:w val="0.89070518031849721"/>
          <c:h val="0.80762620796732609"/>
        </c:manualLayout>
      </c:layout>
      <c:areaChart>
        <c:grouping val="stacked"/>
        <c:varyColors val="0"/>
        <c:ser>
          <c:idx val="0"/>
          <c:order val="0"/>
          <c:tx>
            <c:strRef>
              <c:f>'2F'!$B$4</c:f>
              <c:strCache>
                <c:ptCount val="1"/>
                <c:pt idx="0">
                  <c:v>Job Postings</c:v>
                </c:pt>
              </c:strCache>
            </c:strRef>
          </c:tx>
          <c:spPr>
            <a:solidFill>
              <a:srgbClr val="003E51"/>
            </a:solidFill>
            <a:ln w="25400">
              <a:noFill/>
            </a:ln>
            <a:effectLst/>
          </c:spPr>
          <c:cat>
            <c:numRef>
              <c:f>'2F'!$A$5:$A$64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'2F'!$B$5:$B$64</c:f>
              <c:numCache>
                <c:formatCode>#,##0</c:formatCode>
                <c:ptCount val="60"/>
                <c:pt idx="0">
                  <c:v>845</c:v>
                </c:pt>
                <c:pt idx="1">
                  <c:v>921</c:v>
                </c:pt>
                <c:pt idx="2">
                  <c:v>874</c:v>
                </c:pt>
                <c:pt idx="3">
                  <c:v>739</c:v>
                </c:pt>
                <c:pt idx="4">
                  <c:v>741</c:v>
                </c:pt>
                <c:pt idx="5">
                  <c:v>701</c:v>
                </c:pt>
                <c:pt idx="6">
                  <c:v>713</c:v>
                </c:pt>
                <c:pt idx="7">
                  <c:v>850</c:v>
                </c:pt>
                <c:pt idx="8">
                  <c:v>779</c:v>
                </c:pt>
                <c:pt idx="9">
                  <c:v>776</c:v>
                </c:pt>
                <c:pt idx="10">
                  <c:v>658</c:v>
                </c:pt>
                <c:pt idx="11">
                  <c:v>623</c:v>
                </c:pt>
                <c:pt idx="12">
                  <c:v>790</c:v>
                </c:pt>
                <c:pt idx="13">
                  <c:v>855</c:v>
                </c:pt>
                <c:pt idx="14">
                  <c:v>863</c:v>
                </c:pt>
                <c:pt idx="15">
                  <c:v>816</c:v>
                </c:pt>
                <c:pt idx="16">
                  <c:v>765</c:v>
                </c:pt>
                <c:pt idx="17">
                  <c:v>690</c:v>
                </c:pt>
                <c:pt idx="18">
                  <c:v>688</c:v>
                </c:pt>
                <c:pt idx="19">
                  <c:v>677</c:v>
                </c:pt>
                <c:pt idx="20">
                  <c:v>449</c:v>
                </c:pt>
                <c:pt idx="21">
                  <c:v>313</c:v>
                </c:pt>
                <c:pt idx="22">
                  <c:v>439</c:v>
                </c:pt>
                <c:pt idx="23">
                  <c:v>644</c:v>
                </c:pt>
                <c:pt idx="24">
                  <c:v>879</c:v>
                </c:pt>
                <c:pt idx="25">
                  <c:v>1004</c:v>
                </c:pt>
                <c:pt idx="26">
                  <c:v>1129</c:v>
                </c:pt>
                <c:pt idx="27">
                  <c:v>982</c:v>
                </c:pt>
                <c:pt idx="28">
                  <c:v>858</c:v>
                </c:pt>
                <c:pt idx="29">
                  <c:v>832</c:v>
                </c:pt>
                <c:pt idx="30">
                  <c:v>889</c:v>
                </c:pt>
                <c:pt idx="31">
                  <c:v>1098</c:v>
                </c:pt>
                <c:pt idx="32">
                  <c:v>1147</c:v>
                </c:pt>
                <c:pt idx="33">
                  <c:v>1240</c:v>
                </c:pt>
                <c:pt idx="34">
                  <c:v>1219</c:v>
                </c:pt>
                <c:pt idx="35">
                  <c:v>1373</c:v>
                </c:pt>
                <c:pt idx="36">
                  <c:v>1511</c:v>
                </c:pt>
                <c:pt idx="37">
                  <c:v>1595</c:v>
                </c:pt>
                <c:pt idx="38">
                  <c:v>1541</c:v>
                </c:pt>
                <c:pt idx="39">
                  <c:v>1385</c:v>
                </c:pt>
                <c:pt idx="40">
                  <c:v>1188</c:v>
                </c:pt>
                <c:pt idx="41">
                  <c:v>1022</c:v>
                </c:pt>
                <c:pt idx="42">
                  <c:v>1069</c:v>
                </c:pt>
                <c:pt idx="43">
                  <c:v>1128</c:v>
                </c:pt>
                <c:pt idx="44">
                  <c:v>1077</c:v>
                </c:pt>
                <c:pt idx="45">
                  <c:v>1031</c:v>
                </c:pt>
                <c:pt idx="46">
                  <c:v>987</c:v>
                </c:pt>
                <c:pt idx="47">
                  <c:v>1145</c:v>
                </c:pt>
                <c:pt idx="48">
                  <c:v>1298</c:v>
                </c:pt>
                <c:pt idx="49">
                  <c:v>1207</c:v>
                </c:pt>
                <c:pt idx="50">
                  <c:v>1195</c:v>
                </c:pt>
                <c:pt idx="51">
                  <c:v>1028</c:v>
                </c:pt>
                <c:pt idx="52">
                  <c:v>993</c:v>
                </c:pt>
                <c:pt idx="53">
                  <c:v>942</c:v>
                </c:pt>
                <c:pt idx="54">
                  <c:v>955</c:v>
                </c:pt>
                <c:pt idx="55">
                  <c:v>1020</c:v>
                </c:pt>
                <c:pt idx="56">
                  <c:v>1097</c:v>
                </c:pt>
                <c:pt idx="57">
                  <c:v>1039</c:v>
                </c:pt>
                <c:pt idx="58">
                  <c:v>1062</c:v>
                </c:pt>
                <c:pt idx="59">
                  <c:v>1104</c:v>
                </c:pt>
              </c:numCache>
            </c:numRef>
          </c:val>
          <c:extLst>
            <c:ext xmlns:c16="http://schemas.microsoft.com/office/drawing/2014/chart" uri="{C3380CC4-5D6E-409C-BE32-E72D297353CC}">
              <c16:uniqueId val="{00000000-D092-4181-B896-8121D23C48CC}"/>
            </c:ext>
          </c:extLst>
        </c:ser>
        <c:dLbls>
          <c:showLegendKey val="0"/>
          <c:showVal val="0"/>
          <c:showCatName val="0"/>
          <c:showSerName val="0"/>
          <c:showPercent val="0"/>
          <c:showBubbleSize val="0"/>
        </c:dLbls>
        <c:axId val="309875983"/>
        <c:axId val="309892623"/>
      </c:areaChart>
      <c:lineChart>
        <c:grouping val="standard"/>
        <c:varyColors val="0"/>
        <c:ser>
          <c:idx val="1"/>
          <c:order val="1"/>
          <c:tx>
            <c:strRef>
              <c:f>'2F'!$C$4</c:f>
              <c:strCache>
                <c:ptCount val="1"/>
                <c:pt idx="0">
                  <c:v>Median Advertised Wage</c:v>
                </c:pt>
              </c:strCache>
            </c:strRef>
          </c:tx>
          <c:spPr>
            <a:ln w="28575" cap="rnd">
              <a:solidFill>
                <a:srgbClr val="D45D00"/>
              </a:solidFill>
              <a:round/>
            </a:ln>
            <a:effectLst/>
          </c:spPr>
          <c:marker>
            <c:symbol val="none"/>
          </c:marker>
          <c:cat>
            <c:numRef>
              <c:f>'[2]Early Head Start Teacher'!$A$183:$A$242</c:f>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f>'2F'!$C$5:$C$64</c:f>
              <c:numCache>
                <c:formatCode>"$"#,##0.00_);\("$"#,##0.00\)</c:formatCode>
                <c:ptCount val="60"/>
                <c:pt idx="0">
                  <c:v>12.25</c:v>
                </c:pt>
                <c:pt idx="1">
                  <c:v>12.49</c:v>
                </c:pt>
                <c:pt idx="2">
                  <c:v>12.98</c:v>
                </c:pt>
                <c:pt idx="3">
                  <c:v>13.23</c:v>
                </c:pt>
                <c:pt idx="4">
                  <c:v>12.98</c:v>
                </c:pt>
                <c:pt idx="5">
                  <c:v>12.49</c:v>
                </c:pt>
                <c:pt idx="6">
                  <c:v>12.49</c:v>
                </c:pt>
                <c:pt idx="7">
                  <c:v>12</c:v>
                </c:pt>
                <c:pt idx="8">
                  <c:v>12.49</c:v>
                </c:pt>
                <c:pt idx="9">
                  <c:v>12.49</c:v>
                </c:pt>
                <c:pt idx="10">
                  <c:v>12.49</c:v>
                </c:pt>
                <c:pt idx="11">
                  <c:v>12.49</c:v>
                </c:pt>
                <c:pt idx="12">
                  <c:v>12.18</c:v>
                </c:pt>
                <c:pt idx="13">
                  <c:v>12.49</c:v>
                </c:pt>
                <c:pt idx="14">
                  <c:v>12.49</c:v>
                </c:pt>
                <c:pt idx="15">
                  <c:v>12.31</c:v>
                </c:pt>
                <c:pt idx="16">
                  <c:v>12.49</c:v>
                </c:pt>
                <c:pt idx="17">
                  <c:v>12.98</c:v>
                </c:pt>
                <c:pt idx="18">
                  <c:v>12.49</c:v>
                </c:pt>
                <c:pt idx="19">
                  <c:v>12.49</c:v>
                </c:pt>
                <c:pt idx="20">
                  <c:v>12.49</c:v>
                </c:pt>
                <c:pt idx="21">
                  <c:v>12.49</c:v>
                </c:pt>
                <c:pt idx="22">
                  <c:v>11.45</c:v>
                </c:pt>
                <c:pt idx="23">
                  <c:v>11.69</c:v>
                </c:pt>
                <c:pt idx="24">
                  <c:v>12</c:v>
                </c:pt>
                <c:pt idx="25">
                  <c:v>12</c:v>
                </c:pt>
                <c:pt idx="26">
                  <c:v>12</c:v>
                </c:pt>
                <c:pt idx="27">
                  <c:v>12</c:v>
                </c:pt>
                <c:pt idx="28">
                  <c:v>12.86</c:v>
                </c:pt>
                <c:pt idx="29">
                  <c:v>12.98</c:v>
                </c:pt>
                <c:pt idx="30">
                  <c:v>12.98</c:v>
                </c:pt>
                <c:pt idx="31">
                  <c:v>12.92</c:v>
                </c:pt>
                <c:pt idx="32">
                  <c:v>12.98</c:v>
                </c:pt>
                <c:pt idx="33">
                  <c:v>12.98</c:v>
                </c:pt>
                <c:pt idx="34">
                  <c:v>13.48</c:v>
                </c:pt>
                <c:pt idx="35">
                  <c:v>13.48</c:v>
                </c:pt>
                <c:pt idx="36">
                  <c:v>13.42</c:v>
                </c:pt>
                <c:pt idx="37">
                  <c:v>13.48</c:v>
                </c:pt>
                <c:pt idx="38">
                  <c:v>13.48</c:v>
                </c:pt>
                <c:pt idx="39">
                  <c:v>13.48</c:v>
                </c:pt>
                <c:pt idx="40">
                  <c:v>13.48</c:v>
                </c:pt>
                <c:pt idx="41">
                  <c:v>13.72</c:v>
                </c:pt>
                <c:pt idx="42">
                  <c:v>13.72</c:v>
                </c:pt>
                <c:pt idx="43">
                  <c:v>13.78</c:v>
                </c:pt>
                <c:pt idx="44">
                  <c:v>13.97</c:v>
                </c:pt>
                <c:pt idx="45">
                  <c:v>13.97</c:v>
                </c:pt>
                <c:pt idx="46">
                  <c:v>14.22</c:v>
                </c:pt>
                <c:pt idx="47">
                  <c:v>14.95</c:v>
                </c:pt>
                <c:pt idx="48">
                  <c:v>14.95</c:v>
                </c:pt>
                <c:pt idx="49">
                  <c:v>14.95</c:v>
                </c:pt>
                <c:pt idx="50">
                  <c:v>14.95</c:v>
                </c:pt>
                <c:pt idx="51">
                  <c:v>14.95</c:v>
                </c:pt>
                <c:pt idx="52">
                  <c:v>14.71</c:v>
                </c:pt>
                <c:pt idx="53">
                  <c:v>14.46</c:v>
                </c:pt>
                <c:pt idx="54">
                  <c:v>14.95</c:v>
                </c:pt>
                <c:pt idx="55">
                  <c:v>14.95</c:v>
                </c:pt>
                <c:pt idx="56">
                  <c:v>14.95</c:v>
                </c:pt>
                <c:pt idx="57">
                  <c:v>15.45</c:v>
                </c:pt>
                <c:pt idx="58">
                  <c:v>16.059999999999999</c:v>
                </c:pt>
                <c:pt idx="59">
                  <c:v>16.059999999999999</c:v>
                </c:pt>
              </c:numCache>
            </c:numRef>
          </c:val>
          <c:smooth val="0"/>
          <c:extLst>
            <c:ext xmlns:c16="http://schemas.microsoft.com/office/drawing/2014/chart" uri="{C3380CC4-5D6E-409C-BE32-E72D297353CC}">
              <c16:uniqueId val="{00000001-D092-4181-B896-8121D23C48CC}"/>
            </c:ext>
          </c:extLst>
        </c:ser>
        <c:dLbls>
          <c:showLegendKey val="0"/>
          <c:showVal val="0"/>
          <c:showCatName val="0"/>
          <c:showSerName val="0"/>
          <c:showPercent val="0"/>
          <c:showBubbleSize val="0"/>
        </c:dLbls>
        <c:marker val="1"/>
        <c:smooth val="0"/>
        <c:axId val="753162304"/>
        <c:axId val="753167712"/>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604-4F5B-8A35-BFD459203F1C}"/>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604-4F5B-8A35-BFD459203F1C}"/>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604-4F5B-8A35-BFD459203F1C}"/>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604-4F5B-8A35-BFD459203F1C}"/>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604-4F5B-8A35-BFD459203F1C}"/>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604-4F5B-8A35-BFD459203F1C}"/>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604-4F5B-8A35-BFD459203F1C}"/>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604-4F5B-8A35-BFD459203F1C}"/>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604-4F5B-8A35-BFD459203F1C}"/>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604-4F5B-8A35-BFD459203F1C}"/>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'2F'!$F$5:$F$14</c:f>
              <c:strCache>
                <c:ptCount val="10"/>
                <c:pt idx="0">
                  <c:v>KinderCare</c:v>
                </c:pt>
                <c:pt idx="1">
                  <c:v>Learning Care Group</c:v>
                </c:pt>
                <c:pt idx="2">
                  <c:v>Bright Horizons</c:v>
                </c:pt>
                <c:pt idx="3">
                  <c:v>Childtime Learning Centers</c:v>
                </c:pt>
                <c:pt idx="4">
                  <c:v>Northeast Michigan Community Service Agency</c:v>
                </c:pt>
                <c:pt idx="5">
                  <c:v>Knowledge Universe Education</c:v>
                </c:pt>
                <c:pt idx="6">
                  <c:v>The Goddard School</c:v>
                </c:pt>
                <c:pt idx="7">
                  <c:v>YMCA</c:v>
                </c:pt>
                <c:pt idx="8">
                  <c:v>Northwest Michigan Community Action Agency</c:v>
                </c:pt>
                <c:pt idx="9">
                  <c:v>Tutor Time Learning Centers</c:v>
                </c:pt>
              </c:strCache>
            </c:strRef>
          </c:cat>
          <c:val>
            <c:numRef>
              <c:f>'2F'!$G$5:$G$14</c:f>
              <c:numCache>
                <c:formatCode>#,##0</c:formatCode>
                <c:ptCount val="10"/>
                <c:pt idx="0">
                  <c:v>1471</c:v>
                </c:pt>
                <c:pt idx="1">
                  <c:v>355</c:v>
                </c:pt>
                <c:pt idx="2">
                  <c:v>253</c:v>
                </c:pt>
                <c:pt idx="3">
                  <c:v>211</c:v>
                </c:pt>
                <c:pt idx="4">
                  <c:v>98</c:v>
                </c:pt>
                <c:pt idx="5">
                  <c:v>96</c:v>
                </c:pt>
                <c:pt idx="6">
                  <c:v>89</c:v>
                </c:pt>
                <c:pt idx="7">
                  <c:v>85</c:v>
                </c:pt>
                <c:pt idx="8">
                  <c:v>77</c:v>
                </c:pt>
                <c:pt idx="9">
                  <c:v>69</c:v>
                </c:pt>
              </c:numCache>
            </c:numRef>
          </c:val>
          <c:extLst>
            <c:ext xmlns:c16="http://schemas.microsoft.com/office/drawing/2014/chart" uri="{C3380CC4-5D6E-409C-BE32-E72D297353CC}">
              <c16:uniqueId val="{0000000A-C604-4F5B-8A35-BFD459203F1C}"/>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745979303418866"/>
          <c:w val="0.87985636974531278"/>
          <c:h val="0.75065675016131306"/>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'3A'!$V$5:$V$25</c:f>
              <c:numCache>
                <c:formatCode>"$"#,##0.00</c:formatCode>
                <c:ptCount val="21"/>
                <c:pt idx="0">
                  <c:v>20.40778663899275</c:v>
                </c:pt>
                <c:pt idx="1">
                  <c:v>20.917981304967569</c:v>
                </c:pt>
                <c:pt idx="2">
                  <c:v>21.440930837591758</c:v>
                </c:pt>
                <c:pt idx="3">
                  <c:v>21.976954108531551</c:v>
                </c:pt>
                <c:pt idx="4">
                  <c:v>22.526377961244837</c:v>
                </c:pt>
                <c:pt idx="5">
                  <c:v>23.089537410275955</c:v>
                </c:pt>
                <c:pt idx="6">
                  <c:v>23.666775845532854</c:v>
                </c:pt>
                <c:pt idx="7">
                  <c:v>24.258445241671172</c:v>
                </c:pt>
                <c:pt idx="8">
                  <c:v>24.864906372712948</c:v>
                </c:pt>
                <c:pt idx="9">
                  <c:v>25.48652903203077</c:v>
                </c:pt>
                <c:pt idx="10">
                  <c:v>26.123692257831536</c:v>
                </c:pt>
                <c:pt idx="11">
                  <c:v>26.776784564277321</c:v>
                </c:pt>
                <c:pt idx="12">
                  <c:v>27.446204178384253</c:v>
                </c:pt>
                <c:pt idx="13">
                  <c:v>28.132359282843858</c:v>
                </c:pt>
                <c:pt idx="14">
                  <c:v>28.83566826491495</c:v>
                </c:pt>
                <c:pt idx="15">
                  <c:v>29.556559971537823</c:v>
                </c:pt>
                <c:pt idx="16">
                  <c:v>30.295473970826265</c:v>
                </c:pt>
                <c:pt idx="17">
                  <c:v>31.052860820096917</c:v>
                </c:pt>
                <c:pt idx="18">
                  <c:v>31.829182340599338</c:v>
                </c:pt>
                <c:pt idx="19">
                  <c:v>32.624911899114316</c:v>
                </c:pt>
                <c:pt idx="20">
                  <c:v>33.440534696592174</c:v>
                </c:pt>
              </c:numCache>
            </c:numRef>
          </c:val>
          <c:smooth val="0"/>
          <c:extLst>
            <c:ext xmlns:c16="http://schemas.microsoft.com/office/drawing/2014/chart" uri="{C3380CC4-5D6E-409C-BE32-E72D297353CC}">
              <c16:uniqueId val="{00000000-F9AD-414A-B9A1-C7DD8750975C}"/>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'3A'!$W$5:$W$25</c:f>
              <c:numCache>
                <c:formatCode>"$"#,##0.00</c:formatCode>
                <c:ptCount val="21"/>
                <c:pt idx="0">
                  <c:v>23.945133928571433</c:v>
                </c:pt>
                <c:pt idx="1">
                  <c:v>24.543762276785717</c:v>
                </c:pt>
                <c:pt idx="2">
                  <c:v>25.157356333705359</c:v>
                </c:pt>
                <c:pt idx="3">
                  <c:v>25.78629024204799</c:v>
                </c:pt>
                <c:pt idx="4">
                  <c:v>26.430947498099187</c:v>
                </c:pt>
                <c:pt idx="5">
                  <c:v>27.091721185551663</c:v>
                </c:pt>
                <c:pt idx="6">
                  <c:v>27.769014215190452</c:v>
                </c:pt>
                <c:pt idx="7">
                  <c:v>28.463239570570213</c:v>
                </c:pt>
                <c:pt idx="8">
                  <c:v>29.174820559834465</c:v>
                </c:pt>
                <c:pt idx="9">
                  <c:v>29.904191073830326</c:v>
                </c:pt>
                <c:pt idx="10">
                  <c:v>30.651795850676081</c:v>
                </c:pt>
                <c:pt idx="11">
                  <c:v>31.41809074694298</c:v>
                </c:pt>
                <c:pt idx="12">
                  <c:v>32.203543015616553</c:v>
                </c:pt>
                <c:pt idx="13">
                  <c:v>33.008631591006967</c:v>
                </c:pt>
                <c:pt idx="14">
                  <c:v>33.833847380782139</c:v>
                </c:pt>
                <c:pt idx="15">
                  <c:v>34.67969356530169</c:v>
                </c:pt>
                <c:pt idx="16">
                  <c:v>35.546685904434227</c:v>
                </c:pt>
                <c:pt idx="17">
                  <c:v>36.43535305204508</c:v>
                </c:pt>
                <c:pt idx="18">
                  <c:v>37.346236878346204</c:v>
                </c:pt>
                <c:pt idx="19">
                  <c:v>38.279892800304857</c:v>
                </c:pt>
                <c:pt idx="20">
                  <c:v>39.236890120312474</c:v>
                </c:pt>
              </c:numCache>
            </c:numRef>
          </c:val>
          <c:smooth val="0"/>
          <c:extLst>
            <c:ext xmlns:c16="http://schemas.microsoft.com/office/drawing/2014/chart" uri="{C3380CC4-5D6E-409C-BE32-E72D297353CC}">
              <c16:uniqueId val="{00000001-F9AD-414A-B9A1-C7DD8750975C}"/>
            </c:ext>
          </c:extLst>
        </c:ser>
        <c:ser>
          <c:idx val="2"/>
          <c:order val="2"/>
          <c:tx>
            <c:strRef>
              <c:f>'3A'!$X$4</c:f>
              <c:strCache>
                <c:ptCount val="1"/>
                <c:pt idx="0">
                  <c:v>AA</c:v>
                </c:pt>
              </c:strCache>
            </c:strRef>
          </c:tx>
          <c:spPr>
            <a:ln w="28575" cap="rnd">
              <a:solidFill>
                <a:schemeClr val="accent4"/>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'3A'!$X$5:$X$25</c:f>
              <c:numCache>
                <c:formatCode>"$"#,##0.00</c:formatCode>
                <c:ptCount val="21"/>
                <c:pt idx="0">
                  <c:v>26.339647321428579</c:v>
                </c:pt>
                <c:pt idx="1">
                  <c:v>26.99813850446429</c:v>
                </c:pt>
                <c:pt idx="2">
                  <c:v>27.673091967075894</c:v>
                </c:pt>
                <c:pt idx="3">
                  <c:v>28.364919266252791</c:v>
                </c:pt>
                <c:pt idx="4">
                  <c:v>29.074042247909109</c:v>
                </c:pt>
                <c:pt idx="5">
                  <c:v>29.800893304106832</c:v>
                </c:pt>
                <c:pt idx="6">
                  <c:v>30.545915636709502</c:v>
                </c:pt>
                <c:pt idx="7">
                  <c:v>31.309563527627237</c:v>
                </c:pt>
                <c:pt idx="8">
                  <c:v>32.092302615817914</c:v>
                </c:pt>
                <c:pt idx="9">
                  <c:v>32.894610181213359</c:v>
                </c:pt>
                <c:pt idx="10">
                  <c:v>33.716975435743691</c:v>
                </c:pt>
                <c:pt idx="11">
                  <c:v>34.559899821637281</c:v>
                </c:pt>
                <c:pt idx="12">
                  <c:v>35.423897317178209</c:v>
                </c:pt>
                <c:pt idx="13">
                  <c:v>36.30949475010766</c:v>
                </c:pt>
                <c:pt idx="14">
                  <c:v>37.217232118860352</c:v>
                </c:pt>
                <c:pt idx="15">
                  <c:v>38.147662921831859</c:v>
                </c:pt>
                <c:pt idx="16">
                  <c:v>39.101354494877654</c:v>
                </c:pt>
                <c:pt idx="17">
                  <c:v>40.078888357249589</c:v>
                </c:pt>
                <c:pt idx="18">
                  <c:v>41.080860566180824</c:v>
                </c:pt>
                <c:pt idx="19">
                  <c:v>42.107882080335344</c:v>
                </c:pt>
                <c:pt idx="20">
                  <c:v>43.16057913234372</c:v>
                </c:pt>
              </c:numCache>
            </c:numRef>
          </c:val>
          <c:smooth val="0"/>
          <c:extLst>
            <c:ext xmlns:c16="http://schemas.microsoft.com/office/drawing/2014/chart" uri="{C3380CC4-5D6E-409C-BE32-E72D297353CC}">
              <c16:uniqueId val="{00000002-F9AD-414A-B9A1-C7DD8750975C}"/>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'3A'!$Y$5:$Y$25</c:f>
              <c:numCache>
                <c:formatCode>"$"#,##0.00</c:formatCode>
                <c:ptCount val="21"/>
                <c:pt idx="0">
                  <c:v>28.97361205357144</c:v>
                </c:pt>
                <c:pt idx="1">
                  <c:v>29.697952354910722</c:v>
                </c:pt>
                <c:pt idx="2">
                  <c:v>30.440401163783488</c:v>
                </c:pt>
                <c:pt idx="3">
                  <c:v>31.201411192878073</c:v>
                </c:pt>
                <c:pt idx="4">
                  <c:v>31.981446472700021</c:v>
                </c:pt>
                <c:pt idx="5">
                  <c:v>32.780982634517521</c:v>
                </c:pt>
                <c:pt idx="6">
                  <c:v>33.600507200380456</c:v>
                </c:pt>
                <c:pt idx="7">
                  <c:v>34.440519880389964</c:v>
                </c:pt>
                <c:pt idx="8">
                  <c:v>35.301532877399708</c:v>
                </c:pt>
                <c:pt idx="9">
                  <c:v>36.184071199334696</c:v>
                </c:pt>
                <c:pt idx="10">
                  <c:v>37.088672979318062</c:v>
                </c:pt>
                <c:pt idx="11">
                  <c:v>38.015889803801009</c:v>
                </c:pt>
                <c:pt idx="12">
                  <c:v>38.966287048896028</c:v>
                </c:pt>
                <c:pt idx="13">
                  <c:v>39.940444225118426</c:v>
                </c:pt>
                <c:pt idx="14">
                  <c:v>40.938955330746381</c:v>
                </c:pt>
                <c:pt idx="15">
                  <c:v>41.962429214015039</c:v>
                </c:pt>
                <c:pt idx="16">
                  <c:v>43.011489944365408</c:v>
                </c:pt>
                <c:pt idx="17">
                  <c:v>44.086777192974537</c:v>
                </c:pt>
                <c:pt idx="18">
                  <c:v>45.188946622798895</c:v>
                </c:pt>
                <c:pt idx="19">
                  <c:v>46.318670288368864</c:v>
                </c:pt>
                <c:pt idx="20">
                  <c:v>47.47663704557808</c:v>
                </c:pt>
              </c:numCache>
            </c:numRef>
          </c:val>
          <c:smooth val="0"/>
          <c:extLst>
            <c:ext xmlns:c16="http://schemas.microsoft.com/office/drawing/2014/chart" uri="{C3380CC4-5D6E-409C-BE32-E72D297353CC}">
              <c16:uniqueId val="{00000003-F9AD-414A-B9A1-C7DD8750975C}"/>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'3A'!$Z$5:$Z$25</c:f>
              <c:numCache>
                <c:formatCode>"$"#,##0.00</c:formatCode>
                <c:ptCount val="21"/>
                <c:pt idx="0">
                  <c:v>31.870973258928586</c:v>
                </c:pt>
                <c:pt idx="1">
                  <c:v>32.667747590401795</c:v>
                </c:pt>
                <c:pt idx="2">
                  <c:v>33.484441280161839</c:v>
                </c:pt>
                <c:pt idx="3">
                  <c:v>34.321552312165885</c:v>
                </c:pt>
                <c:pt idx="4">
                  <c:v>35.179591119970027</c:v>
                </c:pt>
                <c:pt idx="5">
                  <c:v>36.059080897969274</c:v>
                </c:pt>
                <c:pt idx="6">
                  <c:v>36.960557920418502</c:v>
                </c:pt>
                <c:pt idx="7">
                  <c:v>37.884571868428964</c:v>
                </c:pt>
                <c:pt idx="8">
                  <c:v>38.831686165139686</c:v>
                </c:pt>
                <c:pt idx="9">
                  <c:v>39.802478319268175</c:v>
                </c:pt>
                <c:pt idx="10">
                  <c:v>40.79754027724988</c:v>
                </c:pt>
                <c:pt idx="11">
                  <c:v>41.81747878418112</c:v>
                </c:pt>
                <c:pt idx="12">
                  <c:v>42.862915753785643</c:v>
                </c:pt>
                <c:pt idx="13">
                  <c:v>43.934488647630282</c:v>
                </c:pt>
                <c:pt idx="14">
                  <c:v>45.032850863821032</c:v>
                </c:pt>
                <c:pt idx="15">
                  <c:v>46.158672135416552</c:v>
                </c:pt>
                <c:pt idx="16">
                  <c:v>47.31263893880196</c:v>
                </c:pt>
                <c:pt idx="17">
                  <c:v>48.495454912272002</c:v>
                </c:pt>
                <c:pt idx="18">
                  <c:v>49.7078412850788</c:v>
                </c:pt>
                <c:pt idx="19">
                  <c:v>50.950537317205765</c:v>
                </c:pt>
                <c:pt idx="20">
                  <c:v>52.224300750135903</c:v>
                </c:pt>
              </c:numCache>
            </c:numRef>
          </c:val>
          <c:smooth val="0"/>
          <c:extLst>
            <c:ext xmlns:c16="http://schemas.microsoft.com/office/drawing/2014/chart" uri="{C3380CC4-5D6E-409C-BE32-E72D297353CC}">
              <c16:uniqueId val="{00000004-F9AD-414A-B9A1-C7DD8750975C}"/>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'3A'!$AA$5:$AA$25</c:f>
              <c:numCache>
                <c:formatCode>"$"#,##0.00</c:formatCode>
                <c:ptCount val="21"/>
                <c:pt idx="0">
                  <c:v>35.058070584821451</c:v>
                </c:pt>
                <c:pt idx="1">
                  <c:v>35.934522349441984</c:v>
                </c:pt>
                <c:pt idx="2">
                  <c:v>36.832885408178029</c:v>
                </c:pt>
                <c:pt idx="3">
                  <c:v>37.753707543382475</c:v>
                </c:pt>
                <c:pt idx="4">
                  <c:v>38.697550231967035</c:v>
                </c:pt>
                <c:pt idx="5">
                  <c:v>39.664988987766208</c:v>
                </c:pt>
                <c:pt idx="6">
                  <c:v>40.656613712460363</c:v>
                </c:pt>
                <c:pt idx="7">
                  <c:v>41.673029055271869</c:v>
                </c:pt>
                <c:pt idx="8">
                  <c:v>42.714854781653663</c:v>
                </c:pt>
                <c:pt idx="9">
                  <c:v>43.782726151195</c:v>
                </c:pt>
                <c:pt idx="10">
                  <c:v>44.877294304974868</c:v>
                </c:pt>
                <c:pt idx="11">
                  <c:v>45.999226662599234</c:v>
                </c:pt>
                <c:pt idx="12">
                  <c:v>47.149207329164213</c:v>
                </c:pt>
                <c:pt idx="13">
                  <c:v>48.327937512393312</c:v>
                </c:pt>
                <c:pt idx="14">
                  <c:v>49.536135950203139</c:v>
                </c:pt>
                <c:pt idx="15">
                  <c:v>50.774539348958214</c:v>
                </c:pt>
                <c:pt idx="16">
                  <c:v>52.043902832682164</c:v>
                </c:pt>
                <c:pt idx="17">
                  <c:v>53.345000403499213</c:v>
                </c:pt>
                <c:pt idx="18">
                  <c:v>54.678625413586687</c:v>
                </c:pt>
                <c:pt idx="19">
                  <c:v>56.045591048926347</c:v>
                </c:pt>
                <c:pt idx="20">
                  <c:v>57.446730825149501</c:v>
                </c:pt>
              </c:numCache>
            </c:numRef>
          </c:val>
          <c:smooth val="0"/>
          <c:extLst>
            <c:ext xmlns:c16="http://schemas.microsoft.com/office/drawing/2014/chart" uri="{C3380CC4-5D6E-409C-BE32-E72D297353CC}">
              <c16:uniqueId val="{00000005-F9AD-414A-B9A1-C7DD8750975C}"/>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9"/>
          <c:min val="19"/>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Assistant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760150591157619"/>
          <c:w val="0.87985636974531278"/>
          <c:h val="0.76051503728392533"/>
        </c:manualLayout>
      </c:layout>
      <c:lineChart>
        <c:grouping val="standard"/>
        <c:varyColors val="0"/>
        <c:ser>
          <c:idx val="0"/>
          <c:order val="0"/>
          <c:tx>
            <c:strRef>
              <c:f>'3A'!$V$4</c:f>
              <c:strCache>
                <c:ptCount val="1"/>
                <c:pt idx="0">
                  <c:v>HSE</c:v>
                </c:pt>
              </c:strCache>
            </c:strRef>
          </c:tx>
          <c:spPr>
            <a:ln w="28575" cap="rnd">
              <a:solidFill>
                <a:schemeClr val="accent6"/>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'3A'!$V$30:$V$50</c:f>
              <c:numCache>
                <c:formatCode>"$"#,##0.00</c:formatCode>
                <c:ptCount val="21"/>
                <c:pt idx="0">
                  <c:v>18.552533308175224</c:v>
                </c:pt>
                <c:pt idx="1">
                  <c:v>19.016346640879604</c:v>
                </c:pt>
                <c:pt idx="2">
                  <c:v>19.491755306901592</c:v>
                </c:pt>
                <c:pt idx="3">
                  <c:v>19.97904918957413</c:v>
                </c:pt>
                <c:pt idx="4">
                  <c:v>20.478525419313481</c:v>
                </c:pt>
                <c:pt idx="5">
                  <c:v>20.990488554796315</c:v>
                </c:pt>
                <c:pt idx="6">
                  <c:v>21.51525076866622</c:v>
                </c:pt>
                <c:pt idx="7">
                  <c:v>22.053132037882875</c:v>
                </c:pt>
                <c:pt idx="8">
                  <c:v>22.604460338829945</c:v>
                </c:pt>
                <c:pt idx="9">
                  <c:v>23.169571847300691</c:v>
                </c:pt>
                <c:pt idx="10">
                  <c:v>23.748811143483206</c:v>
                </c:pt>
                <c:pt idx="11">
                  <c:v>24.342531422070284</c:v>
                </c:pt>
                <c:pt idx="12">
                  <c:v>24.95109470762204</c:v>
                </c:pt>
                <c:pt idx="13">
                  <c:v>25.574872075312591</c:v>
                </c:pt>
                <c:pt idx="14">
                  <c:v>26.214243877195404</c:v>
                </c:pt>
                <c:pt idx="15">
                  <c:v>26.869599974125286</c:v>
                </c:pt>
                <c:pt idx="16">
                  <c:v>27.541339973478415</c:v>
                </c:pt>
                <c:pt idx="17">
                  <c:v>28.229873472815374</c:v>
                </c:pt>
                <c:pt idx="18">
                  <c:v>28.935620309635755</c:v>
                </c:pt>
                <c:pt idx="19">
                  <c:v>29.659010817376647</c:v>
                </c:pt>
                <c:pt idx="20">
                  <c:v>30.400486087811061</c:v>
                </c:pt>
              </c:numCache>
            </c:numRef>
          </c:val>
          <c:smooth val="0"/>
          <c:extLst>
            <c:ext xmlns:c16="http://schemas.microsoft.com/office/drawing/2014/chart" uri="{C3380CC4-5D6E-409C-BE32-E72D297353CC}">
              <c16:uniqueId val="{00000000-C3A0-4794-A79F-875D27EC5DE8}"/>
            </c:ext>
          </c:extLst>
        </c:ser>
        <c:ser>
          <c:idx val="1"/>
          <c:order val="1"/>
          <c:tx>
            <c:strRef>
              <c:f>'3A'!$W$4</c:f>
              <c:strCache>
                <c:ptCount val="1"/>
                <c:pt idx="0">
                  <c:v>CDA</c:v>
                </c:pt>
              </c:strCache>
            </c:strRef>
          </c:tx>
          <c:spPr>
            <a:ln w="28575" cap="rnd">
              <a:solidFill>
                <a:schemeClr val="accent5"/>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'3A'!$W$30:$W$50</c:f>
              <c:numCache>
                <c:formatCode>"$"#,##0.00</c:formatCode>
                <c:ptCount val="21"/>
                <c:pt idx="0">
                  <c:v>21.768303571428575</c:v>
                </c:pt>
                <c:pt idx="1">
                  <c:v>22.312511160714287</c:v>
                </c:pt>
                <c:pt idx="2">
                  <c:v>22.870323939732142</c:v>
                </c:pt>
                <c:pt idx="3">
                  <c:v>23.442082038225443</c:v>
                </c:pt>
                <c:pt idx="4">
                  <c:v>24.028134089181076</c:v>
                </c:pt>
                <c:pt idx="5">
                  <c:v>24.628837441410599</c:v>
                </c:pt>
                <c:pt idx="6">
                  <c:v>25.244558377445863</c:v>
                </c:pt>
                <c:pt idx="7">
                  <c:v>25.875672336882008</c:v>
                </c:pt>
                <c:pt idx="8">
                  <c:v>26.522564145304056</c:v>
                </c:pt>
                <c:pt idx="9">
                  <c:v>27.185628248936656</c:v>
                </c:pt>
                <c:pt idx="10">
                  <c:v>27.865268955160069</c:v>
                </c:pt>
                <c:pt idx="11">
                  <c:v>28.561900679039066</c:v>
                </c:pt>
                <c:pt idx="12">
                  <c:v>29.27594819601504</c:v>
                </c:pt>
                <c:pt idx="13">
                  <c:v>30.007846900915414</c:v>
                </c:pt>
                <c:pt idx="14">
                  <c:v>30.758043073438298</c:v>
                </c:pt>
                <c:pt idx="15">
                  <c:v>31.526994150274252</c:v>
                </c:pt>
                <c:pt idx="16">
                  <c:v>32.315169004031105</c:v>
                </c:pt>
                <c:pt idx="17">
                  <c:v>33.123048229131882</c:v>
                </c:pt>
                <c:pt idx="18">
                  <c:v>33.951124434860176</c:v>
                </c:pt>
                <c:pt idx="19">
                  <c:v>34.799902545731676</c:v>
                </c:pt>
                <c:pt idx="20">
                  <c:v>35.669900109374964</c:v>
                </c:pt>
              </c:numCache>
            </c:numRef>
          </c:val>
          <c:smooth val="0"/>
          <c:extLst>
            <c:ext xmlns:c16="http://schemas.microsoft.com/office/drawing/2014/chart" uri="{C3380CC4-5D6E-409C-BE32-E72D297353CC}">
              <c16:uniqueId val="{00000001-C3A0-4794-A79F-875D27EC5DE8}"/>
            </c:ext>
          </c:extLst>
        </c:ser>
        <c:ser>
          <c:idx val="2"/>
          <c:order val="2"/>
          <c:tx>
            <c:strRef>
              <c:f>'3A'!$X$4</c:f>
              <c:strCache>
                <c:ptCount val="1"/>
                <c:pt idx="0">
                  <c:v>AA</c:v>
                </c:pt>
              </c:strCache>
            </c:strRef>
          </c:tx>
          <c:spPr>
            <a:ln w="28575" cap="rnd">
              <a:solidFill>
                <a:schemeClr val="accent4"/>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'3A'!$X$30:$X$50</c:f>
              <c:numCache>
                <c:formatCode>"$"#,##0.00</c:formatCode>
                <c:ptCount val="21"/>
                <c:pt idx="0">
                  <c:v>23.945133928571433</c:v>
                </c:pt>
                <c:pt idx="1">
                  <c:v>24.543762276785717</c:v>
                </c:pt>
                <c:pt idx="2">
                  <c:v>25.157356333705359</c:v>
                </c:pt>
                <c:pt idx="3">
                  <c:v>25.78629024204799</c:v>
                </c:pt>
                <c:pt idx="4">
                  <c:v>26.430947498099187</c:v>
                </c:pt>
                <c:pt idx="5">
                  <c:v>27.091721185551663</c:v>
                </c:pt>
                <c:pt idx="6">
                  <c:v>27.769014215190452</c:v>
                </c:pt>
                <c:pt idx="7">
                  <c:v>28.463239570570213</c:v>
                </c:pt>
                <c:pt idx="8">
                  <c:v>29.174820559834465</c:v>
                </c:pt>
                <c:pt idx="9">
                  <c:v>29.904191073830326</c:v>
                </c:pt>
                <c:pt idx="10">
                  <c:v>30.651795850676081</c:v>
                </c:pt>
                <c:pt idx="11">
                  <c:v>31.41809074694298</c:v>
                </c:pt>
                <c:pt idx="12">
                  <c:v>32.203543015616553</c:v>
                </c:pt>
                <c:pt idx="13">
                  <c:v>33.008631591006967</c:v>
                </c:pt>
                <c:pt idx="14">
                  <c:v>33.833847380782139</c:v>
                </c:pt>
                <c:pt idx="15">
                  <c:v>34.67969356530169</c:v>
                </c:pt>
                <c:pt idx="16">
                  <c:v>35.546685904434227</c:v>
                </c:pt>
                <c:pt idx="17">
                  <c:v>36.43535305204508</c:v>
                </c:pt>
                <c:pt idx="18">
                  <c:v>37.346236878346204</c:v>
                </c:pt>
                <c:pt idx="19">
                  <c:v>38.279892800304857</c:v>
                </c:pt>
                <c:pt idx="20">
                  <c:v>39.236890120312474</c:v>
                </c:pt>
              </c:numCache>
            </c:numRef>
          </c:val>
          <c:smooth val="0"/>
          <c:extLst>
            <c:ext xmlns:c16="http://schemas.microsoft.com/office/drawing/2014/chart" uri="{C3380CC4-5D6E-409C-BE32-E72D297353CC}">
              <c16:uniqueId val="{00000002-C3A0-4794-A79F-875D27EC5DE8}"/>
            </c:ext>
          </c:extLst>
        </c:ser>
        <c:ser>
          <c:idx val="3"/>
          <c:order val="3"/>
          <c:tx>
            <c:strRef>
              <c:f>'3A'!$Y$4</c:f>
              <c:strCache>
                <c:ptCount val="1"/>
                <c:pt idx="0">
                  <c:v>BA</c:v>
                </c:pt>
              </c:strCache>
            </c:strRef>
          </c:tx>
          <c:spPr>
            <a:ln w="28575" cap="rnd">
              <a:solidFill>
                <a:schemeClr val="accent6">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'3A'!$Y$30:$Y$50</c:f>
              <c:numCache>
                <c:formatCode>"$"#,##0.00</c:formatCode>
                <c:ptCount val="21"/>
                <c:pt idx="0">
                  <c:v>26.339647321428579</c:v>
                </c:pt>
                <c:pt idx="1">
                  <c:v>26.99813850446429</c:v>
                </c:pt>
                <c:pt idx="2">
                  <c:v>27.673091967075894</c:v>
                </c:pt>
                <c:pt idx="3">
                  <c:v>28.364919266252791</c:v>
                </c:pt>
                <c:pt idx="4">
                  <c:v>29.074042247909109</c:v>
                </c:pt>
                <c:pt idx="5">
                  <c:v>29.800893304106832</c:v>
                </c:pt>
                <c:pt idx="6">
                  <c:v>30.545915636709502</c:v>
                </c:pt>
                <c:pt idx="7">
                  <c:v>31.309563527627237</c:v>
                </c:pt>
                <c:pt idx="8">
                  <c:v>32.092302615817914</c:v>
                </c:pt>
                <c:pt idx="9">
                  <c:v>32.894610181213359</c:v>
                </c:pt>
                <c:pt idx="10">
                  <c:v>33.716975435743691</c:v>
                </c:pt>
                <c:pt idx="11">
                  <c:v>34.559899821637281</c:v>
                </c:pt>
                <c:pt idx="12">
                  <c:v>35.423897317178209</c:v>
                </c:pt>
                <c:pt idx="13">
                  <c:v>36.30949475010766</c:v>
                </c:pt>
                <c:pt idx="14">
                  <c:v>37.217232118860352</c:v>
                </c:pt>
                <c:pt idx="15">
                  <c:v>38.147662921831859</c:v>
                </c:pt>
                <c:pt idx="16">
                  <c:v>39.101354494877654</c:v>
                </c:pt>
                <c:pt idx="17">
                  <c:v>40.078888357249589</c:v>
                </c:pt>
                <c:pt idx="18">
                  <c:v>41.080860566180824</c:v>
                </c:pt>
                <c:pt idx="19">
                  <c:v>42.107882080335344</c:v>
                </c:pt>
                <c:pt idx="20">
                  <c:v>43.16057913234372</c:v>
                </c:pt>
              </c:numCache>
            </c:numRef>
          </c:val>
          <c:smooth val="0"/>
          <c:extLst>
            <c:ext xmlns:c16="http://schemas.microsoft.com/office/drawing/2014/chart" uri="{C3380CC4-5D6E-409C-BE32-E72D297353CC}">
              <c16:uniqueId val="{00000003-C3A0-4794-A79F-875D27EC5DE8}"/>
            </c:ext>
          </c:extLst>
        </c:ser>
        <c:ser>
          <c:idx val="4"/>
          <c:order val="4"/>
          <c:tx>
            <c:strRef>
              <c:f>'3A'!$Z$4</c:f>
              <c:strCache>
                <c:ptCount val="1"/>
                <c:pt idx="0">
                  <c:v>MA</c:v>
                </c:pt>
              </c:strCache>
            </c:strRef>
          </c:tx>
          <c:spPr>
            <a:ln w="28575" cap="rnd">
              <a:solidFill>
                <a:schemeClr val="accent5">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'3A'!$Z$30:$Z$50</c:f>
              <c:numCache>
                <c:formatCode>"$"#,##0.00</c:formatCode>
                <c:ptCount val="21"/>
                <c:pt idx="0">
                  <c:v>28.97361205357144</c:v>
                </c:pt>
                <c:pt idx="1">
                  <c:v>29.697952354910722</c:v>
                </c:pt>
                <c:pt idx="2">
                  <c:v>30.440401163783488</c:v>
                </c:pt>
                <c:pt idx="3">
                  <c:v>31.201411192878073</c:v>
                </c:pt>
                <c:pt idx="4">
                  <c:v>31.981446472700021</c:v>
                </c:pt>
                <c:pt idx="5">
                  <c:v>32.780982634517521</c:v>
                </c:pt>
                <c:pt idx="6">
                  <c:v>33.600507200380456</c:v>
                </c:pt>
                <c:pt idx="7">
                  <c:v>34.440519880389964</c:v>
                </c:pt>
                <c:pt idx="8">
                  <c:v>35.301532877399708</c:v>
                </c:pt>
                <c:pt idx="9">
                  <c:v>36.184071199334696</c:v>
                </c:pt>
                <c:pt idx="10">
                  <c:v>37.088672979318062</c:v>
                </c:pt>
                <c:pt idx="11">
                  <c:v>38.015889803801009</c:v>
                </c:pt>
                <c:pt idx="12">
                  <c:v>38.966287048896028</c:v>
                </c:pt>
                <c:pt idx="13">
                  <c:v>39.940444225118426</c:v>
                </c:pt>
                <c:pt idx="14">
                  <c:v>40.938955330746381</c:v>
                </c:pt>
                <c:pt idx="15">
                  <c:v>41.962429214015039</c:v>
                </c:pt>
                <c:pt idx="16">
                  <c:v>43.011489944365408</c:v>
                </c:pt>
                <c:pt idx="17">
                  <c:v>44.086777192974537</c:v>
                </c:pt>
                <c:pt idx="18">
                  <c:v>45.188946622798895</c:v>
                </c:pt>
                <c:pt idx="19">
                  <c:v>46.318670288368864</c:v>
                </c:pt>
                <c:pt idx="20">
                  <c:v>47.47663704557808</c:v>
                </c:pt>
              </c:numCache>
            </c:numRef>
          </c:val>
          <c:smooth val="0"/>
          <c:extLst>
            <c:ext xmlns:c16="http://schemas.microsoft.com/office/drawing/2014/chart" uri="{C3380CC4-5D6E-409C-BE32-E72D297353CC}">
              <c16:uniqueId val="{00000004-C3A0-4794-A79F-875D27EC5DE8}"/>
            </c:ext>
          </c:extLst>
        </c:ser>
        <c:ser>
          <c:idx val="5"/>
          <c:order val="5"/>
          <c:tx>
            <c:strRef>
              <c:f>'3A'!$AA$4</c:f>
              <c:strCache>
                <c:ptCount val="1"/>
                <c:pt idx="0">
                  <c:v>Ed.D. or Ph.D.</c:v>
                </c:pt>
              </c:strCache>
            </c:strRef>
          </c:tx>
          <c:spPr>
            <a:ln w="28575" cap="rnd">
              <a:solidFill>
                <a:schemeClr val="accent4">
                  <a:lumMod val="60000"/>
                </a:schemeClr>
              </a:solidFill>
              <a:round/>
            </a:ln>
            <a:effectLst/>
          </c:spPr>
          <c:marker>
            <c:symbol val="none"/>
          </c:marker>
          <c:cat>
            <c:numRef>
              <c:f>'3A'!$U$30:$U$50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'3A'!$AA$30:$AA$50</c:f>
              <c:numCache>
                <c:formatCode>"$"#,##0.00</c:formatCode>
                <c:ptCount val="21"/>
                <c:pt idx="0">
                  <c:v>31.870973258928601</c:v>
                </c:pt>
                <c:pt idx="1">
                  <c:v>32.66774759040181</c:v>
                </c:pt>
                <c:pt idx="2">
                  <c:v>33.484441280161853</c:v>
                </c:pt>
                <c:pt idx="3">
                  <c:v>34.321552312165899</c:v>
                </c:pt>
                <c:pt idx="4">
                  <c:v>35.179591119970041</c:v>
                </c:pt>
                <c:pt idx="5">
                  <c:v>36.059080897969288</c:v>
                </c:pt>
                <c:pt idx="6">
                  <c:v>36.960557920418516</c:v>
                </c:pt>
                <c:pt idx="7">
                  <c:v>37.884571868428978</c:v>
                </c:pt>
                <c:pt idx="8">
                  <c:v>38.831686165139701</c:v>
                </c:pt>
                <c:pt idx="9">
                  <c:v>39.802478319268189</c:v>
                </c:pt>
                <c:pt idx="10">
                  <c:v>40.797540277249894</c:v>
                </c:pt>
                <c:pt idx="11">
                  <c:v>41.817478784181141</c:v>
                </c:pt>
                <c:pt idx="12">
                  <c:v>42.862915753785664</c:v>
                </c:pt>
                <c:pt idx="13">
                  <c:v>43.934488647630303</c:v>
                </c:pt>
                <c:pt idx="14">
                  <c:v>45.032850863821054</c:v>
                </c:pt>
                <c:pt idx="15">
                  <c:v>46.158672135416573</c:v>
                </c:pt>
                <c:pt idx="16">
                  <c:v>47.312638938801982</c:v>
                </c:pt>
                <c:pt idx="17">
                  <c:v>48.495454912272024</c:v>
                </c:pt>
                <c:pt idx="18">
                  <c:v>49.707841285078821</c:v>
                </c:pt>
                <c:pt idx="19">
                  <c:v>50.950537317205786</c:v>
                </c:pt>
                <c:pt idx="20">
                  <c:v>52.224300750135924</c:v>
                </c:pt>
              </c:numCache>
            </c:numRef>
          </c:val>
          <c:smooth val="0"/>
          <c:extLst>
            <c:ext xmlns:c16="http://schemas.microsoft.com/office/drawing/2014/chart" uri="{C3380CC4-5D6E-409C-BE32-E72D297353CC}">
              <c16:uniqueId val="{00000005-C3A0-4794-A79F-875D27EC5DE8}"/>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151589764634468"/>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53"/>
          <c:min val="18"/>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166149426761398"/>
          <c:y val="8.7750010915918317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9.0090947988817296E-2"/>
          <c:w val="0.88364242704955998"/>
          <c:h val="0.75700640528637198"/>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'3B'!$A$6:$A$12</c:f>
              <c:strCache>
                <c:ptCount val="7"/>
                <c:pt idx="0">
                  <c:v>14-18</c:v>
                </c:pt>
                <c:pt idx="1">
                  <c:v>19-24</c:v>
                </c:pt>
                <c:pt idx="2">
                  <c:v>25-34</c:v>
                </c:pt>
                <c:pt idx="3">
                  <c:v>35-44</c:v>
                </c:pt>
                <c:pt idx="4">
                  <c:v>45-54</c:v>
                </c:pt>
                <c:pt idx="5">
                  <c:v>55-64</c:v>
                </c:pt>
                <c:pt idx="6">
                  <c:v>65+</c:v>
                </c:pt>
              </c:strCache>
            </c:strRef>
          </c:cat>
          <c:val>
            <c:numRef>
              <c:f>'3B'!$C$6:$C$12</c:f>
              <c:numCache>
                <c:formatCode>0.0%;[Red]\ \(0.0%\)</c:formatCode>
                <c:ptCount val="7"/>
                <c:pt idx="0">
                  <c:v>7.2554899874238176E-3</c:v>
                </c:pt>
                <c:pt idx="1">
                  <c:v>6.2074747670181549E-2</c:v>
                </c:pt>
                <c:pt idx="2">
                  <c:v>0.16548966495759571</c:v>
                </c:pt>
                <c:pt idx="3">
                  <c:v>0.25403888942633257</c:v>
                </c:pt>
                <c:pt idx="4">
                  <c:v>0.28538260617200351</c:v>
                </c:pt>
                <c:pt idx="5">
                  <c:v>0.17971042533294637</c:v>
                </c:pt>
                <c:pt idx="6">
                  <c:v>4.6048176453516491E-2</c:v>
                </c:pt>
              </c:numCache>
            </c:numRef>
          </c:val>
          <c:extLst>
            <c:ext xmlns:c16="http://schemas.microsoft.com/office/drawing/2014/chart" uri="{C3380CC4-5D6E-409C-BE32-E72D297353CC}">
              <c16:uniqueId val="{00000000-DC29-4937-AF72-A64BC0BFD291}"/>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2706-414A-B180-9BCB9C23396F}"/>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2706-414A-B180-9BCB9C23396F}"/>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2706-414A-B180-9BCB9C23396F}"/>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2706-414A-B180-9BCB9C23396F}"/>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2706-414A-B180-9BCB9C23396F}"/>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2706-414A-B180-9BCB9C23396F}"/>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2706-414A-B180-9BCB9C23396F}"/>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06-414A-B180-9BCB9C23396F}"/>
                </c:ext>
              </c:extLst>
            </c:dLbl>
            <c:dLbl>
              <c:idx val="2"/>
              <c:layout>
                <c:manualLayout>
                  <c:x val="-9.3299732654192488E-2"/>
                  <c:y val="-0.121213224275648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06-414A-B180-9BCB9C23396F}"/>
                </c:ext>
              </c:extLst>
            </c:dLbl>
            <c:dLbl>
              <c:idx val="3"/>
              <c:layout>
                <c:manualLayout>
                  <c:x val="0.13400388240885081"/>
                  <c:y val="-0.1625533427733510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06-414A-B180-9BCB9C23396F}"/>
                </c:ext>
              </c:extLst>
            </c:dLbl>
            <c:dLbl>
              <c:idx val="5"/>
              <c:layout>
                <c:manualLayout>
                  <c:x val="8.8322970723766742E-2"/>
                  <c:y val="0.1256935925576745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06-414A-B180-9BCB9C23396F}"/>
                </c:ext>
              </c:extLst>
            </c:dLbl>
            <c:dLbl>
              <c:idx val="6"/>
              <c:layout>
                <c:manualLayout>
                  <c:x val="-3.1980079771712605E-2"/>
                  <c:y val="5.8945508772057544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2706-414A-B180-9BCB9C23396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'3B'!$E$6:$E$12</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'3B'!$G$6:$G$12</c:f>
              <c:numCache>
                <c:formatCode>0.0%;[Red]\ \(0.0%\)</c:formatCode>
                <c:ptCount val="7"/>
                <c:pt idx="0">
                  <c:v>4.2000000000000003E-2</c:v>
                </c:pt>
                <c:pt idx="1">
                  <c:v>0.25700000000000001</c:v>
                </c:pt>
                <c:pt idx="2">
                  <c:v>0.24399999999999999</c:v>
                </c:pt>
                <c:pt idx="3">
                  <c:v>0.14399999999999999</c:v>
                </c:pt>
                <c:pt idx="4">
                  <c:v>0.22800000000000001</c:v>
                </c:pt>
                <c:pt idx="5">
                  <c:v>7.0999999999999994E-2</c:v>
                </c:pt>
                <c:pt idx="6">
                  <c:v>1.4E-2</c:v>
                </c:pt>
              </c:numCache>
            </c:numRef>
          </c:val>
          <c:extLst>
            <c:ext xmlns:c16="http://schemas.microsoft.com/office/drawing/2014/chart" uri="{C3380CC4-5D6E-409C-BE32-E72D297353CC}">
              <c16:uniqueId val="{0000000E-2706-414A-B180-9BCB9C23396F}"/>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3396494452277976"/>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5EB3-4B7A-9868-AA5F1E9031A8}"/>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5EB3-4B7A-9868-AA5F1E9031A8}"/>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5EB3-4B7A-9868-AA5F1E9031A8}"/>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5EB3-4B7A-9868-AA5F1E9031A8}"/>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5EB3-4B7A-9868-AA5F1E9031A8}"/>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5EB3-4B7A-9868-AA5F1E9031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5EB3-4B7A-9868-AA5F1E9031A8}"/>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B3-4B7A-9868-AA5F1E9031A8}"/>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B3-4B7A-9868-AA5F1E9031A8}"/>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B3-4B7A-9868-AA5F1E9031A8}"/>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B3-4B7A-9868-AA5F1E9031A8}"/>
                </c:ext>
              </c:extLst>
            </c:dLbl>
            <c:dLbl>
              <c:idx val="6"/>
              <c:delete val="1"/>
              <c:extLst>
                <c:ext xmlns:c15="http://schemas.microsoft.com/office/drawing/2012/chart" uri="{CE6537A1-D6FC-4f65-9D91-7224C49458BB}"/>
                <c:ext xmlns:c16="http://schemas.microsoft.com/office/drawing/2014/chart" uri="{C3380CC4-5D6E-409C-BE32-E72D297353CC}">
                  <c16:uniqueId val="{0000000D-5EB3-4B7A-9868-AA5F1E9031A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'3B'!$I$6:$I$12</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'3B'!$K$6:$K$12</c:f>
              <c:numCache>
                <c:formatCode>0.0%;[Red]\ \(0.0%\)</c:formatCode>
                <c:ptCount val="7"/>
                <c:pt idx="0">
                  <c:v>0.79181580729418588</c:v>
                </c:pt>
                <c:pt idx="1">
                  <c:v>0.11283093095998194</c:v>
                </c:pt>
                <c:pt idx="2">
                  <c:v>5.3916352262100543E-2</c:v>
                </c:pt>
                <c:pt idx="3">
                  <c:v>2.3249814581922542E-2</c:v>
                </c:pt>
                <c:pt idx="4">
                  <c:v>1.5381638773338493E-2</c:v>
                </c:pt>
                <c:pt idx="5">
                  <c:v>2.7087162619715585E-3</c:v>
                </c:pt>
                <c:pt idx="6">
                  <c:v>9.6739866498984228E-5</c:v>
                </c:pt>
              </c:numCache>
            </c:numRef>
          </c:val>
          <c:extLst>
            <c:ext xmlns:c16="http://schemas.microsoft.com/office/drawing/2014/chart" uri="{C3380CC4-5D6E-409C-BE32-E72D297353CC}">
              <c16:uniqueId val="{0000000E-5EB3-4B7A-9868-AA5F1E9031A8}"/>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Lead Teacher, Preschool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426343316586281"/>
          <c:w val="0.87985636974531278"/>
          <c:h val="0.75548219456428023"/>
        </c:manualLayout>
      </c:layout>
      <c:lineChart>
        <c:grouping val="standard"/>
        <c:varyColors val="0"/>
        <c:ser>
          <c:idx val="0"/>
          <c:order val="0"/>
          <c:tx>
            <c:strRef>
              <c:f>'2A'!$V$4</c:f>
              <c:strCache>
                <c:ptCount val="1"/>
                <c:pt idx="0">
                  <c:v>HSE</c:v>
                </c:pt>
              </c:strCache>
            </c:strRef>
          </c:tx>
          <c:spPr>
            <a:ln w="28575" cap="rnd">
              <a:solidFill>
                <a:schemeClr val="accent6"/>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'2A'!$V$31:$V$51</c:f>
              <c:numCache>
                <c:formatCode>"$"#,##0.00</c:formatCode>
                <c:ptCount val="21"/>
                <c:pt idx="0">
                  <c:v>23.770433301099505</c:v>
                </c:pt>
                <c:pt idx="1">
                  <c:v>24.36469413362699</c:v>
                </c:pt>
                <c:pt idx="2">
                  <c:v>24.973811486967662</c:v>
                </c:pt>
                <c:pt idx="3">
                  <c:v>25.598156774141852</c:v>
                </c:pt>
                <c:pt idx="4">
                  <c:v>26.238110693495397</c:v>
                </c:pt>
                <c:pt idx="5">
                  <c:v>26.894063460832779</c:v>
                </c:pt>
                <c:pt idx="6">
                  <c:v>27.566415047353598</c:v>
                </c:pt>
                <c:pt idx="7">
                  <c:v>28.255575423537437</c:v>
                </c:pt>
                <c:pt idx="8">
                  <c:v>28.96196480912587</c:v>
                </c:pt>
                <c:pt idx="9">
                  <c:v>29.686013929354015</c:v>
                </c:pt>
                <c:pt idx="10">
                  <c:v>30.428164277587864</c:v>
                </c:pt>
                <c:pt idx="11">
                  <c:v>31.188868384527559</c:v>
                </c:pt>
                <c:pt idx="12">
                  <c:v>31.968590094140744</c:v>
                </c:pt>
                <c:pt idx="13">
                  <c:v>32.767804846494258</c:v>
                </c:pt>
                <c:pt idx="14">
                  <c:v>33.58699996765661</c:v>
                </c:pt>
                <c:pt idx="15">
                  <c:v>34.426674966848019</c:v>
                </c:pt>
                <c:pt idx="16">
                  <c:v>35.287341841019213</c:v>
                </c:pt>
                <c:pt idx="17">
                  <c:v>36.169525387044693</c:v>
                </c:pt>
                <c:pt idx="18">
                  <c:v>37.073763521720807</c:v>
                </c:pt>
                <c:pt idx="19">
                  <c:v>38.000607609763826</c:v>
                </c:pt>
              </c:numCache>
            </c:numRef>
          </c:val>
          <c:smooth val="0"/>
          <c:extLst>
            <c:ext xmlns:c16="http://schemas.microsoft.com/office/drawing/2014/chart" uri="{C3380CC4-5D6E-409C-BE32-E72D297353CC}">
              <c16:uniqueId val="{00000005-F661-45DB-B06C-B1FDC448639D}"/>
            </c:ext>
          </c:extLst>
        </c:ser>
        <c:ser>
          <c:idx val="1"/>
          <c:order val="1"/>
          <c:tx>
            <c:strRef>
              <c:f>'2A'!$W$4</c:f>
              <c:strCache>
                <c:ptCount val="1"/>
                <c:pt idx="0">
                  <c:v>CDA</c:v>
                </c:pt>
              </c:strCache>
            </c:strRef>
          </c:tx>
          <c:spPr>
            <a:ln w="28575" cap="rnd">
              <a:solidFill>
                <a:schemeClr val="accent5"/>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'2A'!$W$31:$W$51</c:f>
              <c:numCache>
                <c:formatCode>"$"#,##0.00</c:formatCode>
                <c:ptCount val="21"/>
                <c:pt idx="0">
                  <c:v>29.750014880952381</c:v>
                </c:pt>
                <c:pt idx="1">
                  <c:v>30.493765252976189</c:v>
                </c:pt>
                <c:pt idx="2">
                  <c:v>31.25610938430059</c:v>
                </c:pt>
                <c:pt idx="3">
                  <c:v>32.037512118908104</c:v>
                </c:pt>
                <c:pt idx="4">
                  <c:v>32.838449921880802</c:v>
                </c:pt>
                <c:pt idx="5">
                  <c:v>33.659411169927822</c:v>
                </c:pt>
                <c:pt idx="6">
                  <c:v>34.500896449176011</c:v>
                </c:pt>
                <c:pt idx="7">
                  <c:v>35.36341886040541</c:v>
                </c:pt>
                <c:pt idx="8">
                  <c:v>36.247504331915543</c:v>
                </c:pt>
                <c:pt idx="9">
                  <c:v>37.153691940213427</c:v>
                </c:pt>
                <c:pt idx="10">
                  <c:v>38.082534238718758</c:v>
                </c:pt>
                <c:pt idx="11">
                  <c:v>39.034597594686723</c:v>
                </c:pt>
                <c:pt idx="12">
                  <c:v>40.010462534553888</c:v>
                </c:pt>
                <c:pt idx="13">
                  <c:v>41.010724097917731</c:v>
                </c:pt>
                <c:pt idx="14">
                  <c:v>42.035992200365669</c:v>
                </c:pt>
                <c:pt idx="15">
                  <c:v>43.086892005374807</c:v>
                </c:pt>
                <c:pt idx="16">
                  <c:v>44.164064305509172</c:v>
                </c:pt>
                <c:pt idx="17">
                  <c:v>45.268165913146895</c:v>
                </c:pt>
                <c:pt idx="18">
                  <c:v>46.399870060975566</c:v>
                </c:pt>
                <c:pt idx="19">
                  <c:v>47.559866812499948</c:v>
                </c:pt>
              </c:numCache>
            </c:numRef>
          </c:val>
          <c:smooth val="0"/>
          <c:extLst>
            <c:ext xmlns:c16="http://schemas.microsoft.com/office/drawing/2014/chart" uri="{C3380CC4-5D6E-409C-BE32-E72D297353CC}">
              <c16:uniqueId val="{00000006-F661-45DB-B06C-B1FDC448639D}"/>
            </c:ext>
          </c:extLst>
        </c:ser>
        <c:ser>
          <c:idx val="2"/>
          <c:order val="2"/>
          <c:tx>
            <c:strRef>
              <c:f>'2A'!$X$4</c:f>
              <c:strCache>
                <c:ptCount val="1"/>
                <c:pt idx="0">
                  <c:v>AA</c:v>
                </c:pt>
              </c:strCache>
            </c:strRef>
          </c:tx>
          <c:spPr>
            <a:ln w="28575" cap="rnd">
              <a:solidFill>
                <a:schemeClr val="accent4"/>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'2A'!$X$31:$X$51</c:f>
              <c:numCache>
                <c:formatCode>"$"#,##0.00</c:formatCode>
                <c:ptCount val="21"/>
                <c:pt idx="0">
                  <c:v>32.725016369047623</c:v>
                </c:pt>
                <c:pt idx="1">
                  <c:v>33.543141778273814</c:v>
                </c:pt>
                <c:pt idx="2">
                  <c:v>34.381720322730658</c:v>
                </c:pt>
                <c:pt idx="3">
                  <c:v>35.241263330798922</c:v>
                </c:pt>
                <c:pt idx="4">
                  <c:v>36.122294914068895</c:v>
                </c:pt>
                <c:pt idx="5">
                  <c:v>37.025352286920615</c:v>
                </c:pt>
                <c:pt idx="6">
                  <c:v>37.950986094093629</c:v>
                </c:pt>
                <c:pt idx="7">
                  <c:v>38.899760746445963</c:v>
                </c:pt>
                <c:pt idx="8">
                  <c:v>39.872254765107108</c:v>
                </c:pt>
                <c:pt idx="9">
                  <c:v>40.869061134234784</c:v>
                </c:pt>
                <c:pt idx="10">
                  <c:v>41.890787662590647</c:v>
                </c:pt>
                <c:pt idx="11">
                  <c:v>42.938057354155411</c:v>
                </c:pt>
                <c:pt idx="12">
                  <c:v>44.011508788009294</c:v>
                </c:pt>
                <c:pt idx="13">
                  <c:v>45.111796507709521</c:v>
                </c:pt>
                <c:pt idx="14">
                  <c:v>46.239591420402256</c:v>
                </c:pt>
                <c:pt idx="15">
                  <c:v>47.395581205912308</c:v>
                </c:pt>
                <c:pt idx="16">
                  <c:v>48.580470736060114</c:v>
                </c:pt>
                <c:pt idx="17">
                  <c:v>49.794982504461615</c:v>
                </c:pt>
                <c:pt idx="18">
                  <c:v>51.03985706707315</c:v>
                </c:pt>
                <c:pt idx="19">
                  <c:v>52.315853493749977</c:v>
                </c:pt>
              </c:numCache>
            </c:numRef>
          </c:val>
          <c:smooth val="0"/>
          <c:extLst>
            <c:ext xmlns:c16="http://schemas.microsoft.com/office/drawing/2014/chart" uri="{C3380CC4-5D6E-409C-BE32-E72D297353CC}">
              <c16:uniqueId val="{00000007-F661-45DB-B06C-B1FDC448639D}"/>
            </c:ext>
          </c:extLst>
        </c:ser>
        <c:ser>
          <c:idx val="3"/>
          <c:order val="3"/>
          <c:tx>
            <c:strRef>
              <c:f>'2A'!$Y$4</c:f>
              <c:strCache>
                <c:ptCount val="1"/>
                <c:pt idx="0">
                  <c:v>BA</c:v>
                </c:pt>
              </c:strCache>
            </c:strRef>
          </c:tx>
          <c:spPr>
            <a:ln w="28575" cap="rnd">
              <a:solidFill>
                <a:schemeClr val="accent6">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'2A'!$Y$31:$Y$51</c:f>
              <c:numCache>
                <c:formatCode>"$"#,##0.00</c:formatCode>
                <c:ptCount val="21"/>
                <c:pt idx="0">
                  <c:v>35.997518005952386</c:v>
                </c:pt>
                <c:pt idx="1">
                  <c:v>36.89745595610119</c:v>
                </c:pt>
                <c:pt idx="2">
                  <c:v>37.819892355003716</c:v>
                </c:pt>
                <c:pt idx="3">
                  <c:v>38.765389663878807</c:v>
                </c:pt>
                <c:pt idx="4">
                  <c:v>39.734524405475774</c:v>
                </c:pt>
                <c:pt idx="5">
                  <c:v>40.727887515612665</c:v>
                </c:pt>
                <c:pt idx="6">
                  <c:v>41.74608470350298</c:v>
                </c:pt>
                <c:pt idx="7">
                  <c:v>42.78973682109055</c:v>
                </c:pt>
                <c:pt idx="8">
                  <c:v>43.85948024161781</c:v>
                </c:pt>
                <c:pt idx="9">
                  <c:v>44.955967247658251</c:v>
                </c:pt>
                <c:pt idx="10">
                  <c:v>46.079866428849705</c:v>
                </c:pt>
                <c:pt idx="11">
                  <c:v>47.231863089570943</c:v>
                </c:pt>
                <c:pt idx="12">
                  <c:v>48.412659666810214</c:v>
                </c:pt>
                <c:pt idx="13">
                  <c:v>49.622976158480462</c:v>
                </c:pt>
                <c:pt idx="14">
                  <c:v>50.86355056244247</c:v>
                </c:pt>
                <c:pt idx="15">
                  <c:v>52.135139326503527</c:v>
                </c:pt>
                <c:pt idx="16">
                  <c:v>53.438517809666109</c:v>
                </c:pt>
                <c:pt idx="17">
                  <c:v>54.774480754907756</c:v>
                </c:pt>
                <c:pt idx="18">
                  <c:v>56.143842773780449</c:v>
                </c:pt>
                <c:pt idx="19">
                  <c:v>57.547438843124958</c:v>
                </c:pt>
              </c:numCache>
            </c:numRef>
          </c:val>
          <c:smooth val="0"/>
          <c:extLst>
            <c:ext xmlns:c16="http://schemas.microsoft.com/office/drawing/2014/chart" uri="{C3380CC4-5D6E-409C-BE32-E72D297353CC}">
              <c16:uniqueId val="{00000008-F661-45DB-B06C-B1FDC448639D}"/>
            </c:ext>
          </c:extLst>
        </c:ser>
        <c:ser>
          <c:idx val="4"/>
          <c:order val="4"/>
          <c:tx>
            <c:strRef>
              <c:f>'2A'!$Z$4</c:f>
              <c:strCache>
                <c:ptCount val="1"/>
                <c:pt idx="0">
                  <c:v>MA</c:v>
                </c:pt>
              </c:strCache>
            </c:strRef>
          </c:tx>
          <c:spPr>
            <a:ln w="28575" cap="rnd">
              <a:solidFill>
                <a:schemeClr val="accent5">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'2A'!$Z$31:$Z$51</c:f>
              <c:numCache>
                <c:formatCode>"$"#,##0.00</c:formatCode>
                <c:ptCount val="21"/>
                <c:pt idx="0">
                  <c:v>39.597269806547629</c:v>
                </c:pt>
                <c:pt idx="1">
                  <c:v>40.587201551711317</c:v>
                </c:pt>
                <c:pt idx="2">
                  <c:v>41.6018815905041</c:v>
                </c:pt>
                <c:pt idx="3">
                  <c:v>42.641928630266698</c:v>
                </c:pt>
                <c:pt idx="4">
                  <c:v>43.707976846023364</c:v>
                </c:pt>
                <c:pt idx="5">
                  <c:v>44.800676267173941</c:v>
                </c:pt>
                <c:pt idx="6">
                  <c:v>45.920693173853287</c:v>
                </c:pt>
                <c:pt idx="7">
                  <c:v>47.068710503199618</c:v>
                </c:pt>
                <c:pt idx="8">
                  <c:v>48.245428265779601</c:v>
                </c:pt>
                <c:pt idx="9">
                  <c:v>49.45156397242409</c:v>
                </c:pt>
                <c:pt idx="10">
                  <c:v>50.687853071734686</c:v>
                </c:pt>
                <c:pt idx="11">
                  <c:v>51.955049398528047</c:v>
                </c:pt>
                <c:pt idx="12">
                  <c:v>53.253925633491242</c:v>
                </c:pt>
                <c:pt idx="13">
                  <c:v>54.58527377432852</c:v>
                </c:pt>
                <c:pt idx="14">
                  <c:v>55.949905618686728</c:v>
                </c:pt>
                <c:pt idx="15">
                  <c:v>57.348653259153892</c:v>
                </c:pt>
                <c:pt idx="16">
                  <c:v>58.782369590632733</c:v>
                </c:pt>
                <c:pt idx="17">
                  <c:v>60.251928830398548</c:v>
                </c:pt>
                <c:pt idx="18">
                  <c:v>61.758227051158507</c:v>
                </c:pt>
                <c:pt idx="19">
                  <c:v>63.302182727437462</c:v>
                </c:pt>
              </c:numCache>
            </c:numRef>
          </c:val>
          <c:smooth val="0"/>
          <c:extLst>
            <c:ext xmlns:c16="http://schemas.microsoft.com/office/drawing/2014/chart" uri="{C3380CC4-5D6E-409C-BE32-E72D297353CC}">
              <c16:uniqueId val="{00000009-F661-45DB-B06C-B1FDC448639D}"/>
            </c:ext>
          </c:extLst>
        </c:ser>
        <c:ser>
          <c:idx val="5"/>
          <c:order val="5"/>
          <c:tx>
            <c:strRef>
              <c:f>'2A'!$AA$4</c:f>
              <c:strCache>
                <c:ptCount val="1"/>
                <c:pt idx="0">
                  <c:v>Ed.D. or Ph.D.</c:v>
                </c:pt>
              </c:strCache>
            </c:strRef>
          </c:tx>
          <c:spPr>
            <a:ln w="28575" cap="rnd">
              <a:solidFill>
                <a:schemeClr val="accent4">
                  <a:lumMod val="60000"/>
                </a:schemeClr>
              </a:solidFill>
              <a:round/>
            </a:ln>
            <a:effectLst/>
          </c:spPr>
          <c:marker>
            <c:symbol val="none"/>
          </c:marker>
          <c:cat>
            <c:numRef>
              <c:f>'2A'!$U$5:$U$25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'2A'!$AA$31:$AA$51</c:f>
              <c:numCache>
                <c:formatCode>"$"#,##0.00</c:formatCode>
                <c:ptCount val="21"/>
                <c:pt idx="0">
                  <c:v>43.556996787202394</c:v>
                </c:pt>
                <c:pt idx="1">
                  <c:v>44.645921706882447</c:v>
                </c:pt>
                <c:pt idx="2">
                  <c:v>45.762069749554506</c:v>
                </c:pt>
                <c:pt idx="3">
                  <c:v>46.906121493293362</c:v>
                </c:pt>
                <c:pt idx="4">
                  <c:v>48.078774530625694</c:v>
                </c:pt>
                <c:pt idx="5">
                  <c:v>49.280743893891334</c:v>
                </c:pt>
                <c:pt idx="6">
                  <c:v>50.512762491238611</c:v>
                </c:pt>
                <c:pt idx="7">
                  <c:v>51.775581553519572</c:v>
                </c:pt>
                <c:pt idx="8">
                  <c:v>53.069971092357555</c:v>
                </c:pt>
                <c:pt idx="9">
                  <c:v>54.39672036966649</c:v>
                </c:pt>
                <c:pt idx="10">
                  <c:v>55.75663837890815</c:v>
                </c:pt>
                <c:pt idx="11">
                  <c:v>57.15055433838085</c:v>
                </c:pt>
                <c:pt idx="12">
                  <c:v>58.579318196840369</c:v>
                </c:pt>
                <c:pt idx="13">
                  <c:v>60.043801151761372</c:v>
                </c:pt>
                <c:pt idx="14">
                  <c:v>61.544896180555398</c:v>
                </c:pt>
                <c:pt idx="15">
                  <c:v>63.083518585069278</c:v>
                </c:pt>
                <c:pt idx="16">
                  <c:v>64.660606549695999</c:v>
                </c:pt>
                <c:pt idx="17">
                  <c:v>66.27712171343839</c:v>
                </c:pt>
                <c:pt idx="18">
                  <c:v>67.934049756274348</c:v>
                </c:pt>
                <c:pt idx="19">
                  <c:v>69.632401000181204</c:v>
                </c:pt>
              </c:numCache>
            </c:numRef>
          </c:val>
          <c:smooth val="0"/>
          <c:extLst>
            <c:ext xmlns:c16="http://schemas.microsoft.com/office/drawing/2014/chart" uri="{C3380CC4-5D6E-409C-BE32-E72D297353CC}">
              <c16:uniqueId val="{0000000A-F661-45DB-B06C-B1FDC448639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Years of Experience</a:t>
                </a:r>
              </a:p>
            </c:rich>
          </c:tx>
          <c:layout>
            <c:manualLayout>
              <c:xMode val="edge"/>
              <c:yMode val="edge"/>
              <c:x val="0.43950721143570409"/>
              <c:y val="0.95495082504825191"/>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ax val="72"/>
          <c:min val="22"/>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876609072074458"/>
          <c:y val="8.2674054869754487E-2"/>
          <c:w val="0.48131262093866933"/>
          <c:h val="3.94464845698167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0-2B40-4728-ADC5-403C3CF22D69}"/>
                </c:ext>
              </c:extLst>
            </c:dLbl>
            <c:dLbl>
              <c:idx val="1"/>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2B40-4728-ADC5-403C3CF22D69}"/>
                </c:ext>
              </c:extLst>
            </c:dLbl>
            <c:dLbl>
              <c:idx val="2"/>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2-2B40-4728-ADC5-403C3CF22D69}"/>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6-2B40-4728-ADC5-403C3CF22D69}"/>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3-2B40-4728-ADC5-403C3CF22D69}"/>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'3C'!$B$8:$B$12</c:f>
              <c:numCache>
                <c:formatCode>0%</c:formatCode>
                <c:ptCount val="5"/>
                <c:pt idx="0">
                  <c:v>0.95</c:v>
                </c:pt>
                <c:pt idx="1">
                  <c:v>0.95</c:v>
                </c:pt>
                <c:pt idx="2">
                  <c:v>0.94</c:v>
                </c:pt>
                <c:pt idx="3">
                  <c:v>0.92</c:v>
                </c:pt>
                <c:pt idx="4">
                  <c:v>0.92</c:v>
                </c:pt>
              </c:numCache>
            </c:numRef>
          </c:val>
          <c:extLst>
            <c:ext xmlns:c16="http://schemas.microsoft.com/office/drawing/2014/chart" uri="{C3380CC4-5D6E-409C-BE32-E72D297353CC}">
              <c16:uniqueId val="{00000005-2B40-4728-ADC5-403C3CF22D69}"/>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'3C'!$A$8:$A$12</c:f>
              <c:strCache>
                <c:ptCount val="5"/>
                <c:pt idx="0">
                  <c:v>Self-Enrichment Teacher</c:v>
                </c:pt>
                <c:pt idx="1">
                  <c:v>Tutor</c:v>
                </c:pt>
                <c:pt idx="2">
                  <c:v>Kindergarten Teacher</c:v>
                </c:pt>
                <c:pt idx="3">
                  <c:v>Administrative Assistant</c:v>
                </c:pt>
                <c:pt idx="4">
                  <c:v>Customer Service Representative</c:v>
                </c:pt>
              </c:strCache>
            </c:strRef>
          </c:cat>
          <c:val>
            <c:numRef>
              <c:f>'3C'!$C$8:$C$12</c:f>
              <c:numCache>
                <c:formatCode>"$"#,##0.00_);\("$"#,##0.00\)</c:formatCode>
                <c:ptCount val="5"/>
                <c:pt idx="0">
                  <c:v>20.97</c:v>
                </c:pt>
                <c:pt idx="1">
                  <c:v>15.09</c:v>
                </c:pt>
                <c:pt idx="2">
                  <c:v>29.86</c:v>
                </c:pt>
                <c:pt idx="3">
                  <c:v>19.28</c:v>
                </c:pt>
                <c:pt idx="4">
                  <c:v>17.98</c:v>
                </c:pt>
              </c:numCache>
            </c:numRef>
          </c:val>
          <c:extLst>
            <c:ext xmlns:c16="http://schemas.microsoft.com/office/drawing/2014/chart" uri="{C3380CC4-5D6E-409C-BE32-E72D297353CC}">
              <c16:uniqueId val="{00000000-CD4C-4585-9303-EF56ABDC6BE0}"/>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7764-434C-B3AF-0E82277610C1}"/>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7764-434C-B3AF-0E82277610C1}"/>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'3C'!$Y$29:$Y$34</c:f>
              <c:strCache>
                <c:ptCount val="6"/>
                <c:pt idx="0">
                  <c:v>Tutor</c:v>
                </c:pt>
                <c:pt idx="1">
                  <c:v>Assistant Teacher</c:v>
                </c:pt>
                <c:pt idx="2">
                  <c:v>Customer Service Representative</c:v>
                </c:pt>
                <c:pt idx="3">
                  <c:v>Self-Enrichment Teacher</c:v>
                </c:pt>
                <c:pt idx="4">
                  <c:v>Administrative Assistant</c:v>
                </c:pt>
                <c:pt idx="5">
                  <c:v>Kindergarten Teacher</c:v>
                </c:pt>
              </c:strCache>
            </c:strRef>
          </c:cat>
          <c:val>
            <c:numRef>
              <c:f>'3C'!$Z$29:$Z$34</c:f>
              <c:numCache>
                <c:formatCode>_("$"* #,##0.00_);_("$"* \(#,##0.00\);_("$"* "-"??_);_(@_)</c:formatCode>
                <c:ptCount val="6"/>
                <c:pt idx="0">
                  <c:v>0.1899999999999995</c:v>
                </c:pt>
                <c:pt idx="1">
                  <c:v>3.4599999999999991</c:v>
                </c:pt>
                <c:pt idx="2">
                  <c:v>3.7100000000000009</c:v>
                </c:pt>
                <c:pt idx="3">
                  <c:v>5.3299999999999983</c:v>
                </c:pt>
                <c:pt idx="4">
                  <c:v>5.6700000000000017</c:v>
                </c:pt>
                <c:pt idx="5">
                  <c:v>6.3299999999999983</c:v>
                </c:pt>
              </c:numCache>
            </c:numRef>
          </c:val>
          <c:extLst>
            <c:ext xmlns:c16="http://schemas.microsoft.com/office/drawing/2014/chart" uri="{C3380CC4-5D6E-409C-BE32-E72D297353CC}">
              <c16:uniqueId val="{00000000-2934-4FC4-A0A1-D2762B93414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'3D'!$A$11</c:f>
              <c:strCache>
                <c:ptCount val="1"/>
                <c:pt idx="0">
                  <c:v>Michigan</c:v>
                </c:pt>
              </c:strCache>
            </c:strRef>
          </c:tx>
          <c:spPr>
            <a:ln w="28575" cap="rnd">
              <a:solidFill>
                <a:srgbClr val="D45D00"/>
              </a:solidFill>
              <a:round/>
            </a:ln>
            <a:effectLst/>
          </c:spPr>
          <c:marker>
            <c:symbol val="none"/>
          </c:marker>
          <c:cat>
            <c:numRef>
              <c:f>'3D'!$B$10:$W$10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'3D'!$B$11:$W$11</c:f>
              <c:numCache>
                <c:formatCode>0.0%</c:formatCode>
                <c:ptCount val="22"/>
                <c:pt idx="0">
                  <c:v>0</c:v>
                </c:pt>
                <c:pt idx="1">
                  <c:v>8.7300574345883855E-3</c:v>
                </c:pt>
                <c:pt idx="2">
                  <c:v>-3.5481812380344607E-3</c:v>
                </c:pt>
                <c:pt idx="3">
                  <c:v>-1.6847479259731971E-2</c:v>
                </c:pt>
                <c:pt idx="4">
                  <c:v>-2.6113592852584556E-2</c:v>
                </c:pt>
                <c:pt idx="5">
                  <c:v>-4.0970006381620933E-2</c:v>
                </c:pt>
                <c:pt idx="6">
                  <c:v>-5.7817485641352903E-2</c:v>
                </c:pt>
                <c:pt idx="7">
                  <c:v>-7.1627313337587747E-2</c:v>
                </c:pt>
                <c:pt idx="8">
                  <c:v>-8.1991065730695603E-2</c:v>
                </c:pt>
                <c:pt idx="9">
                  <c:v>-7.2444160816847486E-2</c:v>
                </c:pt>
                <c:pt idx="10">
                  <c:v>-7.0708359923420547E-2</c:v>
                </c:pt>
                <c:pt idx="11">
                  <c:v>-0.11703892788768347</c:v>
                </c:pt>
                <c:pt idx="12">
                  <c:v>-0.12852584556477345</c:v>
                </c:pt>
                <c:pt idx="13">
                  <c:v>-0.1612252712188896</c:v>
                </c:pt>
                <c:pt idx="14">
                  <c:v>-0.15780472239948948</c:v>
                </c:pt>
                <c:pt idx="15">
                  <c:v>-0.16556477345245693</c:v>
                </c:pt>
                <c:pt idx="16">
                  <c:v>-0.16209317166560305</c:v>
                </c:pt>
                <c:pt idx="17">
                  <c:v>-0.13822590938098278</c:v>
                </c:pt>
                <c:pt idx="18">
                  <c:v>-0.13848117421825143</c:v>
                </c:pt>
                <c:pt idx="19">
                  <c:v>-0.2157498404594767</c:v>
                </c:pt>
                <c:pt idx="20">
                  <c:v>-0.24045947670708359</c:v>
                </c:pt>
                <c:pt idx="21">
                  <c:v>-0.20839821314613913</c:v>
                </c:pt>
              </c:numCache>
            </c:numRef>
          </c:val>
          <c:smooth val="0"/>
          <c:extLst>
            <c:ext xmlns:c16="http://schemas.microsoft.com/office/drawing/2014/chart" uri="{C3380CC4-5D6E-409C-BE32-E72D297353CC}">
              <c16:uniqueId val="{00000000-B332-4E27-89CF-3353025F1B0D}"/>
            </c:ext>
          </c:extLst>
        </c:ser>
        <c:ser>
          <c:idx val="1"/>
          <c:order val="1"/>
          <c:tx>
            <c:strRef>
              <c:f>'3D'!$A$12</c:f>
              <c:strCache>
                <c:ptCount val="1"/>
                <c:pt idx="0">
                  <c:v>United States</c:v>
                </c:pt>
              </c:strCache>
            </c:strRef>
          </c:tx>
          <c:spPr>
            <a:ln w="28575" cap="rnd">
              <a:solidFill>
                <a:srgbClr val="003E51"/>
              </a:solidFill>
              <a:round/>
            </a:ln>
            <a:effectLst/>
          </c:spPr>
          <c:marker>
            <c:symbol val="none"/>
          </c:marker>
          <c:cat>
            <c:numRef>
              <c:f>'3D'!$B$10:$W$10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'3D'!$B$12:$W$12</c:f>
              <c:numCache>
                <c:formatCode>0.0%</c:formatCode>
                <c:ptCount val="22"/>
                <c:pt idx="0">
                  <c:v>0</c:v>
                </c:pt>
                <c:pt idx="1">
                  <c:v>3.3312888139231771E-2</c:v>
                </c:pt>
                <c:pt idx="2">
                  <c:v>4.7321839300774361E-2</c:v>
                </c:pt>
                <c:pt idx="3">
                  <c:v>5.1299068465843749E-2</c:v>
                </c:pt>
                <c:pt idx="4">
                  <c:v>6.2361036571340948E-2</c:v>
                </c:pt>
                <c:pt idx="5">
                  <c:v>0.10321388867591812</c:v>
                </c:pt>
                <c:pt idx="6">
                  <c:v>0.15439316108257303</c:v>
                </c:pt>
                <c:pt idx="7">
                  <c:v>0.17591332515525571</c:v>
                </c:pt>
                <c:pt idx="8">
                  <c:v>0.15261059572184313</c:v>
                </c:pt>
                <c:pt idx="9">
                  <c:v>0.10796739630453117</c:v>
                </c:pt>
                <c:pt idx="10">
                  <c:v>3.6899582151345547E-2</c:v>
                </c:pt>
                <c:pt idx="11">
                  <c:v>0.10689881545656674</c:v>
                </c:pt>
                <c:pt idx="12">
                  <c:v>4.7671643793605764E-2</c:v>
                </c:pt>
                <c:pt idx="13">
                  <c:v>5.3457793452426586E-2</c:v>
                </c:pt>
                <c:pt idx="14">
                  <c:v>9.1440331978839218E-2</c:v>
                </c:pt>
                <c:pt idx="15">
                  <c:v>0.1299236180326612</c:v>
                </c:pt>
                <c:pt idx="16">
                  <c:v>0.18739457946791382</c:v>
                </c:pt>
                <c:pt idx="17">
                  <c:v>0.21872604078816224</c:v>
                </c:pt>
                <c:pt idx="18">
                  <c:v>0.25828749137468376</c:v>
                </c:pt>
                <c:pt idx="19">
                  <c:v>0.10035555470367247</c:v>
                </c:pt>
                <c:pt idx="20">
                  <c:v>0.16092204630836465</c:v>
                </c:pt>
                <c:pt idx="21">
                  <c:v>0.21309083416391936</c:v>
                </c:pt>
              </c:numCache>
            </c:numRef>
          </c:val>
          <c:smooth val="0"/>
          <c:extLst>
            <c:ext xmlns:c16="http://schemas.microsoft.com/office/drawing/2014/chart" uri="{C3380CC4-5D6E-409C-BE32-E72D297353CC}">
              <c16:uniqueId val="{00000001-B332-4E27-89CF-3353025F1B0D}"/>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78512404891287502"/>
        </c:manualLayout>
      </c:layout>
      <c:lineChart>
        <c:grouping val="standard"/>
        <c:varyColors val="0"/>
        <c:ser>
          <c:idx val="0"/>
          <c:order val="0"/>
          <c:tx>
            <c:strRef>
              <c:f>'3D'!$A$22</c:f>
              <c:strCache>
                <c:ptCount val="1"/>
                <c:pt idx="0">
                  <c:v>Michigan </c:v>
                </c:pt>
              </c:strCache>
            </c:strRef>
          </c:tx>
          <c:spPr>
            <a:ln w="28575" cap="rnd">
              <a:solidFill>
                <a:srgbClr val="D45D00"/>
              </a:solidFill>
              <a:round/>
            </a:ln>
            <a:effectLst/>
          </c:spPr>
          <c:marker>
            <c:symbol val="none"/>
          </c:marker>
          <c:cat>
            <c:numRef>
              <c:f>'3D'!$B$21:$S$21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'3D'!$B$22:$S$22</c:f>
              <c:numCache>
                <c:formatCode>0.0%</c:formatCode>
                <c:ptCount val="18"/>
                <c:pt idx="0">
                  <c:v>0</c:v>
                </c:pt>
                <c:pt idx="1">
                  <c:v>6.8673565380997045E-2</c:v>
                </c:pt>
                <c:pt idx="2">
                  <c:v>4.139228598306674E-2</c:v>
                </c:pt>
                <c:pt idx="3">
                  <c:v>4.421448730009396E-2</c:v>
                </c:pt>
                <c:pt idx="4">
                  <c:v>5.7384760112887997E-2</c:v>
                </c:pt>
                <c:pt idx="5">
                  <c:v>0.12699905926622762</c:v>
                </c:pt>
                <c:pt idx="6">
                  <c:v>0.15710253998118531</c:v>
                </c:pt>
                <c:pt idx="7">
                  <c:v>0.15428033866415791</c:v>
                </c:pt>
                <c:pt idx="8">
                  <c:v>0.14957666980244588</c:v>
                </c:pt>
                <c:pt idx="9">
                  <c:v>0.12229539040451541</c:v>
                </c:pt>
                <c:pt idx="10">
                  <c:v>0.11947318908748819</c:v>
                </c:pt>
                <c:pt idx="11">
                  <c:v>0.12417685794920022</c:v>
                </c:pt>
                <c:pt idx="12">
                  <c:v>0.14205079962370645</c:v>
                </c:pt>
                <c:pt idx="13">
                  <c:v>0.19567262464722482</c:v>
                </c:pt>
                <c:pt idx="14">
                  <c:v>0.23142050799623695</c:v>
                </c:pt>
                <c:pt idx="15">
                  <c:v>0.26999059266227649</c:v>
                </c:pt>
                <c:pt idx="16">
                  <c:v>0.31326434619002819</c:v>
                </c:pt>
                <c:pt idx="17">
                  <c:v>0.32549388523047967</c:v>
                </c:pt>
              </c:numCache>
            </c:numRef>
          </c:val>
          <c:smooth val="0"/>
          <c:extLst>
            <c:ext xmlns:c16="http://schemas.microsoft.com/office/drawing/2014/chart" uri="{C3380CC4-5D6E-409C-BE32-E72D297353CC}">
              <c16:uniqueId val="{00000000-F919-47A0-916D-CBBA935407E8}"/>
            </c:ext>
          </c:extLst>
        </c:ser>
        <c:ser>
          <c:idx val="1"/>
          <c:order val="1"/>
          <c:tx>
            <c:strRef>
              <c:f>'3D'!$A$23</c:f>
              <c:strCache>
                <c:ptCount val="1"/>
                <c:pt idx="0">
                  <c:v>United States</c:v>
                </c:pt>
              </c:strCache>
            </c:strRef>
          </c:tx>
          <c:spPr>
            <a:ln w="28575" cap="rnd">
              <a:solidFill>
                <a:srgbClr val="003E51"/>
              </a:solidFill>
              <a:round/>
            </a:ln>
            <a:effectLst/>
          </c:spPr>
          <c:marker>
            <c:symbol val="none"/>
          </c:marker>
          <c:cat>
            <c:numRef>
              <c:f>'3D'!$B$21:$S$21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'3D'!$B$23:$S$23</c:f>
              <c:numCache>
                <c:formatCode>0.0%</c:formatCode>
                <c:ptCount val="18"/>
                <c:pt idx="0">
                  <c:v>0</c:v>
                </c:pt>
                <c:pt idx="1">
                  <c:v>2.9175158508729496E-2</c:v>
                </c:pt>
                <c:pt idx="2">
                  <c:v>5.5776454276413291E-2</c:v>
                </c:pt>
                <c:pt idx="3">
                  <c:v>9.139412268446323E-2</c:v>
                </c:pt>
                <c:pt idx="4">
                  <c:v>0.11910252947501507</c:v>
                </c:pt>
                <c:pt idx="5">
                  <c:v>0.15740235131795224</c:v>
                </c:pt>
                <c:pt idx="6">
                  <c:v>0.1881498813516502</c:v>
                </c:pt>
                <c:pt idx="7">
                  <c:v>0.20575936703525671</c:v>
                </c:pt>
                <c:pt idx="8">
                  <c:v>0.22286811897209746</c:v>
                </c:pt>
                <c:pt idx="9">
                  <c:v>0.24252800759632134</c:v>
                </c:pt>
                <c:pt idx="10">
                  <c:v>0.26911365111614605</c:v>
                </c:pt>
                <c:pt idx="11">
                  <c:v>0.29608730245078441</c:v>
                </c:pt>
                <c:pt idx="12">
                  <c:v>0.32878867302751075</c:v>
                </c:pt>
                <c:pt idx="13">
                  <c:v>0.37359733022280672</c:v>
                </c:pt>
                <c:pt idx="14">
                  <c:v>0.41982793376923699</c:v>
                </c:pt>
                <c:pt idx="15">
                  <c:v>0.47607795198254477</c:v>
                </c:pt>
                <c:pt idx="16">
                  <c:v>0.48093556078764194</c:v>
                </c:pt>
                <c:pt idx="17">
                  <c:v>0.63017271267928177</c:v>
                </c:pt>
              </c:numCache>
            </c:numRef>
          </c:val>
          <c:smooth val="0"/>
          <c:extLst>
            <c:ext xmlns:c16="http://schemas.microsoft.com/office/drawing/2014/chart" uri="{C3380CC4-5D6E-409C-BE32-E72D297353CC}">
              <c16:uniqueId val="{00000001-F919-47A0-916D-CBBA935407E8}"/>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'3E'!$A$5:$B$5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Substitute Teachers, Short-Term</c:v>
                </c:pt>
                <c:pt idx="9">
                  <c:v>Customer Service Representatives</c:v>
                </c:pt>
              </c:strCache>
            </c:strRef>
          </c:cat>
          <c:val>
            <c:numRef>
              <c:f>'3E'!$B$7:$B$16</c:f>
              <c:numCache>
                <c:formatCode>0.0%</c:formatCode>
                <c:ptCount val="10"/>
                <c:pt idx="0">
                  <c:v>0.16692245385172869</c:v>
                </c:pt>
                <c:pt idx="1">
                  <c:v>0.10295434198746643</c:v>
                </c:pt>
                <c:pt idx="2">
                  <c:v>9.6016114592658908E-2</c:v>
                </c:pt>
                <c:pt idx="3">
                  <c:v>9.1443918659675147E-2</c:v>
                </c:pt>
                <c:pt idx="4">
                  <c:v>7.8452061218399621E-2</c:v>
                </c:pt>
                <c:pt idx="5">
                  <c:v>7.623523894786205E-2</c:v>
                </c:pt>
                <c:pt idx="6">
                  <c:v>6.0376433474016285E-2</c:v>
                </c:pt>
                <c:pt idx="7">
                  <c:v>5.811698000596837E-2</c:v>
                </c:pt>
                <c:pt idx="8">
                  <c:v>5.7402907447670203E-2</c:v>
                </c:pt>
                <c:pt idx="9">
                  <c:v>5.391780705120007E-2</c:v>
                </c:pt>
              </c:numCache>
            </c:numRef>
          </c:val>
          <c:extLst>
            <c:ext xmlns:c16="http://schemas.microsoft.com/office/drawing/2014/chart" uri="{C3380CC4-5D6E-409C-BE32-E72D297353CC}">
              <c16:uniqueId val="{00000000-C9BC-46DC-B64C-EB197ADE411F}"/>
            </c:ext>
          </c:extLst>
        </c:ser>
        <c:ser>
          <c:idx val="1"/>
          <c:order val="1"/>
          <c:spPr>
            <a:solidFill>
              <a:schemeClr val="accent2"/>
            </a:solidFill>
            <a:ln>
              <a:noFill/>
            </a:ln>
            <a:effectLst/>
          </c:spPr>
          <c:invertIfNegative val="0"/>
          <c:dLbls>
            <c:delete val="1"/>
          </c:dLbls>
          <c:cat>
            <c:strRef>
              <c:f>'3E'!$A$7:$A$16</c:f>
              <c:strCache>
                <c:ptCount val="10"/>
                <c:pt idx="0">
                  <c:v>Life, Physical, and Social Science Technicians</c:v>
                </c:pt>
                <c:pt idx="1">
                  <c:v>Postsecondary Teachers</c:v>
                </c:pt>
                <c:pt idx="2">
                  <c:v>Social and Human Service Assistants</c:v>
                </c:pt>
                <c:pt idx="3">
                  <c:v>Secretaries and Admin. Assistants</c:v>
                </c:pt>
                <c:pt idx="4">
                  <c:v>Teaching Assistants, Postsecondary</c:v>
                </c:pt>
                <c:pt idx="5">
                  <c:v>Retail Salespersons</c:v>
                </c:pt>
                <c:pt idx="6">
                  <c:v>Software Developers</c:v>
                </c:pt>
                <c:pt idx="7">
                  <c:v>Managers</c:v>
                </c:pt>
                <c:pt idx="8">
                  <c:v>Substitute Teachers, Short-Term</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C9BC-46DC-B64C-EB197ADE411F}"/>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'3E'!$C$5:$D$5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'3E'!$C$7:$C$16</c:f>
              <c:strCache>
                <c:ptCount val="10"/>
                <c:pt idx="0">
                  <c:v>Life, Physical, and Social Science Technicians</c:v>
                </c:pt>
                <c:pt idx="1">
                  <c:v>Postsecondary Teachers</c:v>
                </c:pt>
                <c:pt idx="2">
                  <c:v>Software Developers</c:v>
                </c:pt>
                <c:pt idx="3">
                  <c:v>Social and Human Service Assistants</c:v>
                </c:pt>
                <c:pt idx="4">
                  <c:v>Teaching Assistants, Postsecondary</c:v>
                </c:pt>
                <c:pt idx="5">
                  <c:v>Secretaries and Admin. Assistants</c:v>
                </c:pt>
                <c:pt idx="6">
                  <c:v>Customer Service Representatives</c:v>
                </c:pt>
                <c:pt idx="7">
                  <c:v>Retail Salespersons</c:v>
                </c:pt>
                <c:pt idx="8">
                  <c:v>Preschool Teachers</c:v>
                </c:pt>
                <c:pt idx="9">
                  <c:v>Secondary School Teachers</c:v>
                </c:pt>
              </c:strCache>
            </c:strRef>
          </c:cat>
          <c:val>
            <c:numRef>
              <c:f>'3E'!$D$7:$D$16</c:f>
              <c:numCache>
                <c:formatCode>0.0%</c:formatCode>
                <c:ptCount val="10"/>
                <c:pt idx="0">
                  <c:v>0.17575776953574626</c:v>
                </c:pt>
                <c:pt idx="1">
                  <c:v>0.13503431811399583</c:v>
                </c:pt>
                <c:pt idx="2">
                  <c:v>0.11799249690923819</c:v>
                </c:pt>
                <c:pt idx="3">
                  <c:v>0.10863494905571898</c:v>
                </c:pt>
                <c:pt idx="4">
                  <c:v>0.10138764547896151</c:v>
                </c:pt>
                <c:pt idx="5">
                  <c:v>9.9490557189751458E-2</c:v>
                </c:pt>
                <c:pt idx="6">
                  <c:v>5.6315811911156581E-2</c:v>
                </c:pt>
                <c:pt idx="7">
                  <c:v>5.4823719998294752E-2</c:v>
                </c:pt>
                <c:pt idx="8">
                  <c:v>5.4653195208253402E-2</c:v>
                </c:pt>
                <c:pt idx="9">
                  <c:v>5.4557275013855142E-2</c:v>
                </c:pt>
              </c:numCache>
            </c:numRef>
          </c:val>
          <c:extLst>
            <c:ext xmlns:c16="http://schemas.microsoft.com/office/drawing/2014/chart" uri="{C3380CC4-5D6E-409C-BE32-E72D297353CC}">
              <c16:uniqueId val="{00000000-2D0D-4ADC-ACAF-3ABE7AC53998}"/>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'3F'!$B$4</c:f>
              <c:strCache>
                <c:ptCount val="1"/>
                <c:pt idx="0">
                  <c:v>Job Postings</c:v>
                </c:pt>
              </c:strCache>
            </c:strRef>
          </c:tx>
          <c:spPr>
            <a:solidFill>
              <a:srgbClr val="003E51"/>
            </a:solidFill>
            <a:ln w="25400">
              <a:noFill/>
            </a:ln>
            <a:effectLst/>
          </c:spPr>
          <c:cat>
            <c:numRef>
              <c:f>'3F'!$A$5:$A$64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'3F'!$B$5:$B$64</c:f>
              <c:numCache>
                <c:formatCode>#,##0</c:formatCode>
                <c:ptCount val="60"/>
                <c:pt idx="0">
                  <c:v>709</c:v>
                </c:pt>
                <c:pt idx="1">
                  <c:v>887</c:v>
                </c:pt>
                <c:pt idx="2">
                  <c:v>972</c:v>
                </c:pt>
                <c:pt idx="3">
                  <c:v>871</c:v>
                </c:pt>
                <c:pt idx="4">
                  <c:v>896</c:v>
                </c:pt>
                <c:pt idx="5">
                  <c:v>822</c:v>
                </c:pt>
                <c:pt idx="6">
                  <c:v>824</c:v>
                </c:pt>
                <c:pt idx="7">
                  <c:v>986</c:v>
                </c:pt>
                <c:pt idx="8">
                  <c:v>948</c:v>
                </c:pt>
                <c:pt idx="9">
                  <c:v>915</c:v>
                </c:pt>
                <c:pt idx="10">
                  <c:v>771</c:v>
                </c:pt>
                <c:pt idx="11">
                  <c:v>788</c:v>
                </c:pt>
                <c:pt idx="12">
                  <c:v>1061</c:v>
                </c:pt>
                <c:pt idx="13">
                  <c:v>1218</c:v>
                </c:pt>
                <c:pt idx="14">
                  <c:v>1212</c:v>
                </c:pt>
                <c:pt idx="15">
                  <c:v>1020</c:v>
                </c:pt>
                <c:pt idx="16">
                  <c:v>969</c:v>
                </c:pt>
                <c:pt idx="17">
                  <c:v>961</c:v>
                </c:pt>
                <c:pt idx="18">
                  <c:v>945</c:v>
                </c:pt>
                <c:pt idx="19">
                  <c:v>894</c:v>
                </c:pt>
                <c:pt idx="20">
                  <c:v>641</c:v>
                </c:pt>
                <c:pt idx="21">
                  <c:v>409</c:v>
                </c:pt>
                <c:pt idx="22">
                  <c:v>509</c:v>
                </c:pt>
                <c:pt idx="23">
                  <c:v>723</c:v>
                </c:pt>
                <c:pt idx="24">
                  <c:v>1035</c:v>
                </c:pt>
                <c:pt idx="25">
                  <c:v>1288</c:v>
                </c:pt>
                <c:pt idx="26">
                  <c:v>1561</c:v>
                </c:pt>
                <c:pt idx="27">
                  <c:v>1328</c:v>
                </c:pt>
                <c:pt idx="28">
                  <c:v>1192</c:v>
                </c:pt>
                <c:pt idx="29">
                  <c:v>1142</c:v>
                </c:pt>
                <c:pt idx="30">
                  <c:v>1176</c:v>
                </c:pt>
                <c:pt idx="31">
                  <c:v>1350</c:v>
                </c:pt>
                <c:pt idx="32">
                  <c:v>1217</c:v>
                </c:pt>
                <c:pt idx="33">
                  <c:v>1167</c:v>
                </c:pt>
                <c:pt idx="34">
                  <c:v>1088</c:v>
                </c:pt>
                <c:pt idx="35">
                  <c:v>1215</c:v>
                </c:pt>
                <c:pt idx="36">
                  <c:v>1547</c:v>
                </c:pt>
                <c:pt idx="37">
                  <c:v>1691</c:v>
                </c:pt>
                <c:pt idx="38">
                  <c:v>1758</c:v>
                </c:pt>
                <c:pt idx="39">
                  <c:v>1537</c:v>
                </c:pt>
                <c:pt idx="40">
                  <c:v>1411</c:v>
                </c:pt>
                <c:pt idx="41">
                  <c:v>1251</c:v>
                </c:pt>
                <c:pt idx="42">
                  <c:v>1262</c:v>
                </c:pt>
                <c:pt idx="43">
                  <c:v>1265</c:v>
                </c:pt>
                <c:pt idx="44">
                  <c:v>1092</c:v>
                </c:pt>
                <c:pt idx="45">
                  <c:v>1012</c:v>
                </c:pt>
                <c:pt idx="46">
                  <c:v>1053</c:v>
                </c:pt>
                <c:pt idx="47">
                  <c:v>1279</c:v>
                </c:pt>
                <c:pt idx="48">
                  <c:v>1454</c:v>
                </c:pt>
                <c:pt idx="49">
                  <c:v>1355</c:v>
                </c:pt>
                <c:pt idx="50">
                  <c:v>1376</c:v>
                </c:pt>
                <c:pt idx="51">
                  <c:v>1196</c:v>
                </c:pt>
                <c:pt idx="52">
                  <c:v>1197</c:v>
                </c:pt>
                <c:pt idx="53">
                  <c:v>988</c:v>
                </c:pt>
                <c:pt idx="54">
                  <c:v>872</c:v>
                </c:pt>
                <c:pt idx="55">
                  <c:v>853</c:v>
                </c:pt>
                <c:pt idx="56">
                  <c:v>905</c:v>
                </c:pt>
                <c:pt idx="57">
                  <c:v>810</c:v>
                </c:pt>
                <c:pt idx="58">
                  <c:v>853</c:v>
                </c:pt>
                <c:pt idx="59">
                  <c:v>963</c:v>
                </c:pt>
              </c:numCache>
            </c:numRef>
          </c:val>
          <c:extLst>
            <c:ext xmlns:c16="http://schemas.microsoft.com/office/drawing/2014/chart" uri="{C3380CC4-5D6E-409C-BE32-E72D297353CC}">
              <c16:uniqueId val="{00000000-7F74-4B31-9050-32EB6FD8A760}"/>
            </c:ext>
          </c:extLst>
        </c:ser>
        <c:dLbls>
          <c:showLegendKey val="0"/>
          <c:showVal val="0"/>
          <c:showCatName val="0"/>
          <c:showSerName val="0"/>
          <c:showPercent val="0"/>
          <c:showBubbleSize val="0"/>
        </c:dLbls>
        <c:axId val="309875983"/>
        <c:axId val="309892623"/>
      </c:areaChart>
      <c:lineChart>
        <c:grouping val="standard"/>
        <c:varyColors val="0"/>
        <c:ser>
          <c:idx val="1"/>
          <c:order val="1"/>
          <c:tx>
            <c:strRef>
              <c:f>'3F'!$C$4</c:f>
              <c:strCache>
                <c:ptCount val="1"/>
                <c:pt idx="0">
                  <c:v>Median Advertised Wage</c:v>
                </c:pt>
              </c:strCache>
            </c:strRef>
          </c:tx>
          <c:spPr>
            <a:ln w="28575" cap="rnd">
              <a:solidFill>
                <a:srgbClr val="D45D00"/>
              </a:solidFill>
              <a:round/>
            </a:ln>
            <a:effectLst/>
          </c:spPr>
          <c:marker>
            <c:symbol val="none"/>
          </c:marker>
          <c:cat>
            <c:numRef>
              <c:f>'[2]Early Head Start Teacher'!$A$183:$A$242</c:f>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f>'3F'!$C$5:$C$64</c:f>
              <c:numCache>
                <c:formatCode>"$"#,##0.00_);\("$"#,##0.00\)</c:formatCode>
                <c:ptCount val="60"/>
                <c:pt idx="0">
                  <c:v>11.75</c:v>
                </c:pt>
                <c:pt idx="1">
                  <c:v>12</c:v>
                </c:pt>
                <c:pt idx="2">
                  <c:v>12.06</c:v>
                </c:pt>
                <c:pt idx="3">
                  <c:v>12.18</c:v>
                </c:pt>
                <c:pt idx="4">
                  <c:v>12.12</c:v>
                </c:pt>
                <c:pt idx="5">
                  <c:v>11.75</c:v>
                </c:pt>
                <c:pt idx="6">
                  <c:v>11.63</c:v>
                </c:pt>
                <c:pt idx="7">
                  <c:v>11.63</c:v>
                </c:pt>
                <c:pt idx="8">
                  <c:v>11.45</c:v>
                </c:pt>
                <c:pt idx="9">
                  <c:v>11.45</c:v>
                </c:pt>
                <c:pt idx="10">
                  <c:v>11.69</c:v>
                </c:pt>
                <c:pt idx="11">
                  <c:v>12</c:v>
                </c:pt>
                <c:pt idx="12">
                  <c:v>11.82</c:v>
                </c:pt>
                <c:pt idx="13">
                  <c:v>11.82</c:v>
                </c:pt>
                <c:pt idx="14">
                  <c:v>11.75</c:v>
                </c:pt>
                <c:pt idx="15">
                  <c:v>11.82</c:v>
                </c:pt>
                <c:pt idx="16">
                  <c:v>11.82</c:v>
                </c:pt>
                <c:pt idx="17">
                  <c:v>11.45</c:v>
                </c:pt>
                <c:pt idx="18">
                  <c:v>11.75</c:v>
                </c:pt>
                <c:pt idx="19">
                  <c:v>11.75</c:v>
                </c:pt>
                <c:pt idx="20">
                  <c:v>12</c:v>
                </c:pt>
                <c:pt idx="21">
                  <c:v>11.69</c:v>
                </c:pt>
                <c:pt idx="22">
                  <c:v>11.2</c:v>
                </c:pt>
                <c:pt idx="23">
                  <c:v>11.32</c:v>
                </c:pt>
                <c:pt idx="24">
                  <c:v>11.45</c:v>
                </c:pt>
                <c:pt idx="25">
                  <c:v>11.45</c:v>
                </c:pt>
                <c:pt idx="26">
                  <c:v>11.45</c:v>
                </c:pt>
                <c:pt idx="27">
                  <c:v>11.69</c:v>
                </c:pt>
                <c:pt idx="28">
                  <c:v>11.88</c:v>
                </c:pt>
                <c:pt idx="29">
                  <c:v>12</c:v>
                </c:pt>
                <c:pt idx="30">
                  <c:v>12.31</c:v>
                </c:pt>
                <c:pt idx="31">
                  <c:v>12</c:v>
                </c:pt>
                <c:pt idx="32">
                  <c:v>12.25</c:v>
                </c:pt>
                <c:pt idx="33">
                  <c:v>12.12</c:v>
                </c:pt>
                <c:pt idx="34">
                  <c:v>12.25</c:v>
                </c:pt>
                <c:pt idx="35">
                  <c:v>12.43</c:v>
                </c:pt>
                <c:pt idx="36">
                  <c:v>12.68</c:v>
                </c:pt>
                <c:pt idx="37">
                  <c:v>12.74</c:v>
                </c:pt>
                <c:pt idx="38">
                  <c:v>12.98</c:v>
                </c:pt>
                <c:pt idx="39">
                  <c:v>12.98</c:v>
                </c:pt>
                <c:pt idx="40">
                  <c:v>13.35</c:v>
                </c:pt>
                <c:pt idx="41">
                  <c:v>13.6</c:v>
                </c:pt>
                <c:pt idx="42">
                  <c:v>13.72</c:v>
                </c:pt>
                <c:pt idx="43">
                  <c:v>13.72</c:v>
                </c:pt>
                <c:pt idx="44">
                  <c:v>13.78</c:v>
                </c:pt>
                <c:pt idx="45">
                  <c:v>13.48</c:v>
                </c:pt>
                <c:pt idx="46">
                  <c:v>13.48</c:v>
                </c:pt>
                <c:pt idx="47">
                  <c:v>13.97</c:v>
                </c:pt>
                <c:pt idx="48">
                  <c:v>14.03</c:v>
                </c:pt>
                <c:pt idx="49">
                  <c:v>14.22</c:v>
                </c:pt>
                <c:pt idx="50">
                  <c:v>14.15</c:v>
                </c:pt>
                <c:pt idx="51">
                  <c:v>14.22</c:v>
                </c:pt>
                <c:pt idx="52">
                  <c:v>14.22</c:v>
                </c:pt>
                <c:pt idx="53">
                  <c:v>14.22</c:v>
                </c:pt>
                <c:pt idx="54">
                  <c:v>14.77</c:v>
                </c:pt>
                <c:pt idx="55">
                  <c:v>14.46</c:v>
                </c:pt>
                <c:pt idx="56">
                  <c:v>14.52</c:v>
                </c:pt>
                <c:pt idx="57">
                  <c:v>14.46</c:v>
                </c:pt>
                <c:pt idx="58">
                  <c:v>14.46</c:v>
                </c:pt>
                <c:pt idx="59">
                  <c:v>14.89</c:v>
                </c:pt>
              </c:numCache>
            </c:numRef>
          </c:val>
          <c:smooth val="0"/>
          <c:extLst>
            <c:ext xmlns:c16="http://schemas.microsoft.com/office/drawing/2014/chart" uri="{C3380CC4-5D6E-409C-BE32-E72D297353CC}">
              <c16:uniqueId val="{00000001-7F74-4B31-9050-32EB6FD8A760}"/>
            </c:ext>
          </c:extLst>
        </c:ser>
        <c:dLbls>
          <c:showLegendKey val="0"/>
          <c:showVal val="0"/>
          <c:showCatName val="0"/>
          <c:showSerName val="0"/>
          <c:showPercent val="0"/>
          <c:showBubbleSize val="0"/>
        </c:dLbls>
        <c:marker val="1"/>
        <c:smooth val="0"/>
        <c:axId val="753162304"/>
        <c:axId val="753167712"/>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F97B-4A24-A3C0-81BEEDDDB83D}"/>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F97B-4A24-A3C0-81BEEDDDB83D}"/>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F97B-4A24-A3C0-81BEEDDDB83D}"/>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F97B-4A24-A3C0-81BEEDDDB83D}"/>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F97B-4A24-A3C0-81BEEDDDB83D}"/>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F97B-4A24-A3C0-81BEEDDDB83D}"/>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F97B-4A24-A3C0-81BEEDDDB83D}"/>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F97B-4A24-A3C0-81BEEDDDB83D}"/>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F97B-4A24-A3C0-81BEEDDDB83D}"/>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F97B-4A24-A3C0-81BEEDDDB83D}"/>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'3F'!$F$5:$F$14</c:f>
              <c:strCache>
                <c:ptCount val="10"/>
                <c:pt idx="0">
                  <c:v>National Heritage Academies</c:v>
                </c:pt>
                <c:pt idx="1">
                  <c:v>KinderCare</c:v>
                </c:pt>
                <c:pt idx="2">
                  <c:v>Learning Care Group</c:v>
                </c:pt>
                <c:pt idx="3">
                  <c:v>University of Michigan</c:v>
                </c:pt>
                <c:pt idx="4">
                  <c:v>Kent ISD</c:v>
                </c:pt>
                <c:pt idx="5">
                  <c:v>Chippewa Valley Schools</c:v>
                </c:pt>
                <c:pt idx="6">
                  <c:v>YMCA</c:v>
                </c:pt>
                <c:pt idx="7">
                  <c:v>Michigan Association of School Boards</c:v>
                </c:pt>
                <c:pt idx="8">
                  <c:v>The Goddard School</c:v>
                </c:pt>
                <c:pt idx="9">
                  <c:v>Dean and Company</c:v>
                </c:pt>
              </c:strCache>
            </c:strRef>
          </c:cat>
          <c:val>
            <c:numRef>
              <c:f>'3F'!$G$5:$G$14</c:f>
              <c:numCache>
                <c:formatCode>#,##0</c:formatCode>
                <c:ptCount val="10"/>
                <c:pt idx="0">
                  <c:v>437</c:v>
                </c:pt>
                <c:pt idx="1">
                  <c:v>370</c:v>
                </c:pt>
                <c:pt idx="2">
                  <c:v>266</c:v>
                </c:pt>
                <c:pt idx="3">
                  <c:v>156</c:v>
                </c:pt>
                <c:pt idx="4">
                  <c:v>138</c:v>
                </c:pt>
                <c:pt idx="5">
                  <c:v>120</c:v>
                </c:pt>
                <c:pt idx="6">
                  <c:v>92</c:v>
                </c:pt>
                <c:pt idx="7">
                  <c:v>71</c:v>
                </c:pt>
                <c:pt idx="8">
                  <c:v>65</c:v>
                </c:pt>
                <c:pt idx="9">
                  <c:v>65</c:v>
                </c:pt>
              </c:numCache>
            </c:numRef>
          </c:val>
          <c:extLst>
            <c:ext xmlns:c16="http://schemas.microsoft.com/office/drawing/2014/chart" uri="{C3380CC4-5D6E-409C-BE32-E72D297353CC}">
              <c16:uniqueId val="{0000000A-F97B-4A24-A3C0-81BEEDDDB83D}"/>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'4A'!$V$5:$V$25</c:f>
              <c:numCache>
                <c:formatCode>"$"#,##0.00</c:formatCode>
                <c:ptCount val="21"/>
                <c:pt idx="0">
                  <c:v>16.326229311194201</c:v>
                </c:pt>
                <c:pt idx="1">
                  <c:v>16.734385043974054</c:v>
                </c:pt>
                <c:pt idx="2">
                  <c:v>17.152744670073403</c:v>
                </c:pt>
                <c:pt idx="3">
                  <c:v>17.581563286825237</c:v>
                </c:pt>
                <c:pt idx="4">
                  <c:v>18.021102368995866</c:v>
                </c:pt>
                <c:pt idx="5">
                  <c:v>18.471629928220761</c:v>
                </c:pt>
                <c:pt idx="6">
                  <c:v>18.933420676426277</c:v>
                </c:pt>
                <c:pt idx="7">
                  <c:v>19.406756193336932</c:v>
                </c:pt>
                <c:pt idx="8">
                  <c:v>19.891925098170354</c:v>
                </c:pt>
                <c:pt idx="9">
                  <c:v>20.389223225624612</c:v>
                </c:pt>
                <c:pt idx="10">
                  <c:v>20.898953806265226</c:v>
                </c:pt>
                <c:pt idx="11">
                  <c:v>21.421427651421855</c:v>
                </c:pt>
                <c:pt idx="12">
                  <c:v>21.9569633427074</c:v>
                </c:pt>
                <c:pt idx="13">
                  <c:v>22.505887426275084</c:v>
                </c:pt>
                <c:pt idx="14">
                  <c:v>23.068534611931959</c:v>
                </c:pt>
                <c:pt idx="15">
                  <c:v>23.645247977230255</c:v>
                </c:pt>
                <c:pt idx="16">
                  <c:v>24.236379176661011</c:v>
                </c:pt>
                <c:pt idx="17">
                  <c:v>24.842288656077535</c:v>
                </c:pt>
                <c:pt idx="18">
                  <c:v>25.463345872479472</c:v>
                </c:pt>
                <c:pt idx="19">
                  <c:v>26.099929519291457</c:v>
                </c:pt>
                <c:pt idx="20">
                  <c:v>26.75242775727374</c:v>
                </c:pt>
              </c:numCache>
            </c:numRef>
          </c:val>
          <c:smooth val="0"/>
          <c:extLst>
            <c:ext xmlns:c16="http://schemas.microsoft.com/office/drawing/2014/chart" uri="{C3380CC4-5D6E-409C-BE32-E72D297353CC}">
              <c16:uniqueId val="{00000000-3B65-4ABB-A59A-30E1F4FB47AD}"/>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'4A'!$W$5:$W$25</c:f>
              <c:numCache>
                <c:formatCode>"$"#,##0.00</c:formatCode>
                <c:ptCount val="21"/>
                <c:pt idx="0">
                  <c:v>17.958850446428574</c:v>
                </c:pt>
                <c:pt idx="1">
                  <c:v>18.407821707589285</c:v>
                </c:pt>
                <c:pt idx="2">
                  <c:v>18.868017250279017</c:v>
                </c:pt>
                <c:pt idx="3">
                  <c:v>19.339717681535991</c:v>
                </c:pt>
                <c:pt idx="4">
                  <c:v>19.82321062357439</c:v>
                </c:pt>
                <c:pt idx="5">
                  <c:v>20.318790889163747</c:v>
                </c:pt>
                <c:pt idx="6">
                  <c:v>20.826760661392839</c:v>
                </c:pt>
                <c:pt idx="7">
                  <c:v>21.347429677927657</c:v>
                </c:pt>
                <c:pt idx="8">
                  <c:v>21.881115419875847</c:v>
                </c:pt>
                <c:pt idx="9">
                  <c:v>22.428143305372743</c:v>
                </c:pt>
                <c:pt idx="10">
                  <c:v>22.98884688800706</c:v>
                </c:pt>
                <c:pt idx="11">
                  <c:v>23.563568060207235</c:v>
                </c:pt>
                <c:pt idx="12">
                  <c:v>24.152657261712413</c:v>
                </c:pt>
                <c:pt idx="13">
                  <c:v>24.75647369325522</c:v>
                </c:pt>
                <c:pt idx="14">
                  <c:v>25.375385535586599</c:v>
                </c:pt>
                <c:pt idx="15">
                  <c:v>26.009770173976261</c:v>
                </c:pt>
                <c:pt idx="16">
                  <c:v>26.660014428325663</c:v>
                </c:pt>
                <c:pt idx="17">
                  <c:v>27.326514789033801</c:v>
                </c:pt>
                <c:pt idx="18">
                  <c:v>28.009677658759642</c:v>
                </c:pt>
                <c:pt idx="19">
                  <c:v>28.709919600228631</c:v>
                </c:pt>
                <c:pt idx="20">
                  <c:v>29.427667590234343</c:v>
                </c:pt>
              </c:numCache>
            </c:numRef>
          </c:val>
          <c:smooth val="0"/>
          <c:extLst>
            <c:ext xmlns:c16="http://schemas.microsoft.com/office/drawing/2014/chart" uri="{C3380CC4-5D6E-409C-BE32-E72D297353CC}">
              <c16:uniqueId val="{00000001-3B65-4ABB-A59A-30E1F4FB47AD}"/>
            </c:ext>
          </c:extLst>
        </c:ser>
        <c:ser>
          <c:idx val="2"/>
          <c:order val="2"/>
          <c:tx>
            <c:strRef>
              <c:f>'4A'!$X$4</c:f>
              <c:strCache>
                <c:ptCount val="1"/>
                <c:pt idx="0">
                  <c:v>AA</c:v>
                </c:pt>
              </c:strCache>
            </c:strRef>
          </c:tx>
          <c:spPr>
            <a:ln w="28575" cap="rnd">
              <a:solidFill>
                <a:schemeClr val="accent4"/>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'4A'!$X$5:$X$25</c:f>
              <c:numCache>
                <c:formatCode>"$"#,##0.00</c:formatCode>
                <c:ptCount val="21"/>
                <c:pt idx="0">
                  <c:v>19.754735491071433</c:v>
                </c:pt>
                <c:pt idx="1">
                  <c:v>20.248603878348217</c:v>
                </c:pt>
                <c:pt idx="2">
                  <c:v>20.754818975306922</c:v>
                </c:pt>
                <c:pt idx="3">
                  <c:v>21.273689449689591</c:v>
                </c:pt>
                <c:pt idx="4">
                  <c:v>21.805531685931829</c:v>
                </c:pt>
                <c:pt idx="5">
                  <c:v>22.350669978080123</c:v>
                </c:pt>
                <c:pt idx="6">
                  <c:v>22.909436727532125</c:v>
                </c:pt>
                <c:pt idx="7">
                  <c:v>23.482172645720425</c:v>
                </c:pt>
                <c:pt idx="8">
                  <c:v>24.069226961863432</c:v>
                </c:pt>
                <c:pt idx="9">
                  <c:v>24.670957635910014</c:v>
                </c:pt>
                <c:pt idx="10">
                  <c:v>25.287731576807762</c:v>
                </c:pt>
                <c:pt idx="11">
                  <c:v>25.919924866227952</c:v>
                </c:pt>
                <c:pt idx="12">
                  <c:v>26.567922987883648</c:v>
                </c:pt>
                <c:pt idx="13">
                  <c:v>27.232121062580738</c:v>
                </c:pt>
                <c:pt idx="14">
                  <c:v>27.912924089145253</c:v>
                </c:pt>
                <c:pt idx="15">
                  <c:v>28.610747191373882</c:v>
                </c:pt>
                <c:pt idx="16">
                  <c:v>29.326015871158226</c:v>
                </c:pt>
                <c:pt idx="17">
                  <c:v>30.059166267937179</c:v>
                </c:pt>
                <c:pt idx="18">
                  <c:v>30.810645424635606</c:v>
                </c:pt>
                <c:pt idx="19">
                  <c:v>31.580911560251494</c:v>
                </c:pt>
                <c:pt idx="20">
                  <c:v>32.370434349257778</c:v>
                </c:pt>
              </c:numCache>
            </c:numRef>
          </c:val>
          <c:smooth val="0"/>
          <c:extLst>
            <c:ext xmlns:c16="http://schemas.microsoft.com/office/drawing/2014/chart" uri="{C3380CC4-5D6E-409C-BE32-E72D297353CC}">
              <c16:uniqueId val="{00000002-3B65-4ABB-A59A-30E1F4FB47AD}"/>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'4A'!$Y$5:$Y$25</c:f>
              <c:numCache>
                <c:formatCode>"$"#,##0.00</c:formatCode>
                <c:ptCount val="21"/>
                <c:pt idx="0">
                  <c:v>21.730209040178579</c:v>
                </c:pt>
                <c:pt idx="1">
                  <c:v>22.273464266183041</c:v>
                </c:pt>
                <c:pt idx="2">
                  <c:v>22.830300872837615</c:v>
                </c:pt>
                <c:pt idx="3">
                  <c:v>23.401058394658552</c:v>
                </c:pt>
                <c:pt idx="4">
                  <c:v>23.986084854525014</c:v>
                </c:pt>
                <c:pt idx="5">
                  <c:v>24.585736975888139</c:v>
                </c:pt>
                <c:pt idx="6">
                  <c:v>25.20038040028534</c:v>
                </c:pt>
                <c:pt idx="7">
                  <c:v>25.830389910292471</c:v>
                </c:pt>
                <c:pt idx="8">
                  <c:v>26.476149658049781</c:v>
                </c:pt>
                <c:pt idx="9">
                  <c:v>27.138053399501022</c:v>
                </c:pt>
                <c:pt idx="10">
                  <c:v>27.816504734488547</c:v>
                </c:pt>
                <c:pt idx="11">
                  <c:v>28.511917352850759</c:v>
                </c:pt>
                <c:pt idx="12">
                  <c:v>29.224715286672026</c:v>
                </c:pt>
                <c:pt idx="13">
                  <c:v>29.955333168838823</c:v>
                </c:pt>
                <c:pt idx="14">
                  <c:v>30.70421649805979</c:v>
                </c:pt>
                <c:pt idx="15">
                  <c:v>31.471821910511281</c:v>
                </c:pt>
                <c:pt idx="16">
                  <c:v>32.25861745827406</c:v>
                </c:pt>
                <c:pt idx="17">
                  <c:v>33.065082894730907</c:v>
                </c:pt>
                <c:pt idx="18">
                  <c:v>33.891709967099175</c:v>
                </c:pt>
                <c:pt idx="19">
                  <c:v>34.739002716276651</c:v>
                </c:pt>
                <c:pt idx="20">
                  <c:v>35.607477784183565</c:v>
                </c:pt>
              </c:numCache>
            </c:numRef>
          </c:val>
          <c:smooth val="0"/>
          <c:extLst>
            <c:ext xmlns:c16="http://schemas.microsoft.com/office/drawing/2014/chart" uri="{C3380CC4-5D6E-409C-BE32-E72D297353CC}">
              <c16:uniqueId val="{00000003-3B65-4ABB-A59A-30E1F4FB47AD}"/>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'4A'!$Z$5:$Z$25</c:f>
              <c:numCache>
                <c:formatCode>"$"#,##0.00</c:formatCode>
                <c:ptCount val="21"/>
                <c:pt idx="0">
                  <c:v>23.90322994419644</c:v>
                </c:pt>
                <c:pt idx="1">
                  <c:v>24.500810692801348</c:v>
                </c:pt>
                <c:pt idx="2">
                  <c:v>25.113330960121381</c:v>
                </c:pt>
                <c:pt idx="3">
                  <c:v>25.741164234124412</c:v>
                </c:pt>
                <c:pt idx="4">
                  <c:v>26.38469333997752</c:v>
                </c:pt>
                <c:pt idx="5">
                  <c:v>27.044310673476957</c:v>
                </c:pt>
                <c:pt idx="6">
                  <c:v>27.720418440313878</c:v>
                </c:pt>
                <c:pt idx="7">
                  <c:v>28.413428901321723</c:v>
                </c:pt>
                <c:pt idx="8">
                  <c:v>29.123764623854765</c:v>
                </c:pt>
                <c:pt idx="9">
                  <c:v>29.851858739451131</c:v>
                </c:pt>
                <c:pt idx="10">
                  <c:v>30.598155207937406</c:v>
                </c:pt>
                <c:pt idx="11">
                  <c:v>31.36310908813584</c:v>
                </c:pt>
                <c:pt idx="12">
                  <c:v>32.147186815339232</c:v>
                </c:pt>
                <c:pt idx="13">
                  <c:v>32.950866485722713</c:v>
                </c:pt>
                <c:pt idx="14">
                  <c:v>33.77463814786578</c:v>
                </c:pt>
                <c:pt idx="15">
                  <c:v>34.619004101562425</c:v>
                </c:pt>
                <c:pt idx="16">
                  <c:v>35.484479204101483</c:v>
                </c:pt>
                <c:pt idx="17">
                  <c:v>36.371591184204014</c:v>
                </c:pt>
                <c:pt idx="18">
                  <c:v>37.280880963809111</c:v>
                </c:pt>
                <c:pt idx="19">
                  <c:v>38.212902987904336</c:v>
                </c:pt>
                <c:pt idx="20">
                  <c:v>39.16822556260194</c:v>
                </c:pt>
              </c:numCache>
            </c:numRef>
          </c:val>
          <c:smooth val="0"/>
          <c:extLst>
            <c:ext xmlns:c16="http://schemas.microsoft.com/office/drawing/2014/chart" uri="{C3380CC4-5D6E-409C-BE32-E72D297353CC}">
              <c16:uniqueId val="{00000004-3B65-4ABB-A59A-30E1F4FB47AD}"/>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'4A'!$AA$5:$AA$25</c:f>
              <c:numCache>
                <c:formatCode>"$"#,##0.00</c:formatCode>
                <c:ptCount val="21"/>
                <c:pt idx="0">
                  <c:v>26.293552938616084</c:v>
                </c:pt>
                <c:pt idx="1">
                  <c:v>26.950891762081483</c:v>
                </c:pt>
                <c:pt idx="2">
                  <c:v>27.624664056133518</c:v>
                </c:pt>
                <c:pt idx="3">
                  <c:v>28.315280657536853</c:v>
                </c:pt>
                <c:pt idx="4">
                  <c:v>29.023162673975271</c:v>
                </c:pt>
                <c:pt idx="5">
                  <c:v>29.748741740824652</c:v>
                </c:pt>
                <c:pt idx="6">
                  <c:v>30.492460284345267</c:v>
                </c:pt>
                <c:pt idx="7">
                  <c:v>31.254771791453894</c:v>
                </c:pt>
                <c:pt idx="8">
                  <c:v>32.036141086240242</c:v>
                </c:pt>
                <c:pt idx="9">
                  <c:v>32.837044613396245</c:v>
                </c:pt>
                <c:pt idx="10">
                  <c:v>33.657970728731151</c:v>
                </c:pt>
                <c:pt idx="11">
                  <c:v>34.499419996949428</c:v>
                </c:pt>
                <c:pt idx="12">
                  <c:v>35.361905496873163</c:v>
                </c:pt>
                <c:pt idx="13">
                  <c:v>36.245953134294986</c:v>
                </c:pt>
                <c:pt idx="14">
                  <c:v>37.15210196265236</c:v>
                </c:pt>
                <c:pt idx="15">
                  <c:v>38.080904511718664</c:v>
                </c:pt>
                <c:pt idx="16">
                  <c:v>39.03292712451163</c:v>
                </c:pt>
                <c:pt idx="17">
                  <c:v>40.008750302624421</c:v>
                </c:pt>
                <c:pt idx="18">
                  <c:v>41.008969060190026</c:v>
                </c:pt>
                <c:pt idx="19">
                  <c:v>42.034193286694773</c:v>
                </c:pt>
                <c:pt idx="20">
                  <c:v>43.08504811886214</c:v>
                </c:pt>
              </c:numCache>
            </c:numRef>
          </c:val>
          <c:smooth val="0"/>
          <c:extLst>
            <c:ext xmlns:c16="http://schemas.microsoft.com/office/drawing/2014/chart" uri="{C3380CC4-5D6E-409C-BE32-E72D297353CC}">
              <c16:uniqueId val="{00000005-3B65-4ABB-A59A-30E1F4FB47AD}"/>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'2B'!$A$6:$A$12</c:f>
              <c:strCache>
                <c:ptCount val="7"/>
                <c:pt idx="0">
                  <c:v>14-18</c:v>
                </c:pt>
                <c:pt idx="1">
                  <c:v>19-24</c:v>
                </c:pt>
                <c:pt idx="2">
                  <c:v>25-34</c:v>
                </c:pt>
                <c:pt idx="3">
                  <c:v>35-44</c:v>
                </c:pt>
                <c:pt idx="4">
                  <c:v>45-54</c:v>
                </c:pt>
                <c:pt idx="5">
                  <c:v>55-64</c:v>
                </c:pt>
                <c:pt idx="6">
                  <c:v>65+</c:v>
                </c:pt>
              </c:strCache>
            </c:strRef>
          </c:cat>
          <c:val>
            <c:numRef>
              <c:f>'2B'!$C$6:$C$12</c:f>
              <c:numCache>
                <c:formatCode>0.0%;[Red]\ \(0.0%\)</c:formatCode>
                <c:ptCount val="7"/>
                <c:pt idx="0">
                  <c:v>4.8738532110091746E-3</c:v>
                </c:pt>
                <c:pt idx="1">
                  <c:v>0.14688455657492355</c:v>
                </c:pt>
                <c:pt idx="2">
                  <c:v>0.27408256880733944</c:v>
                </c:pt>
                <c:pt idx="3">
                  <c:v>0.23279816513761467</c:v>
                </c:pt>
                <c:pt idx="4">
                  <c:v>0.1849197247706422</c:v>
                </c:pt>
                <c:pt idx="5">
                  <c:v>0.11926605504587157</c:v>
                </c:pt>
                <c:pt idx="6">
                  <c:v>3.717507645259939E-2</c:v>
                </c:pt>
              </c:numCache>
            </c:numRef>
          </c:val>
          <c:extLst>
            <c:ext xmlns:c16="http://schemas.microsoft.com/office/drawing/2014/chart" uri="{C3380CC4-5D6E-409C-BE32-E72D297353CC}">
              <c16:uniqueId val="{00000000-3FCD-457D-88EE-09FE72CFC2B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Aide/Floater, Preschool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'4A'!$V$4</c:f>
              <c:strCache>
                <c:ptCount val="1"/>
                <c:pt idx="0">
                  <c:v>HSE</c:v>
                </c:pt>
              </c:strCache>
            </c:strRef>
          </c:tx>
          <c:spPr>
            <a:ln w="28575" cap="rnd">
              <a:solidFill>
                <a:schemeClr val="accent6"/>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'4A'!$V$30:$V$50</c:f>
              <c:numCache>
                <c:formatCode>"$"#,##0.00</c:formatCode>
                <c:ptCount val="21"/>
                <c:pt idx="0">
                  <c:v>14.84202664654018</c:v>
                </c:pt>
                <c:pt idx="1">
                  <c:v>15.213077312703684</c:v>
                </c:pt>
                <c:pt idx="2">
                  <c:v>15.593404245521274</c:v>
                </c:pt>
                <c:pt idx="3">
                  <c:v>15.983239351659304</c:v>
                </c:pt>
                <c:pt idx="4">
                  <c:v>16.382820335450784</c:v>
                </c:pt>
                <c:pt idx="5">
                  <c:v>16.792390843837051</c:v>
                </c:pt>
                <c:pt idx="6">
                  <c:v>17.212200614932975</c:v>
                </c:pt>
                <c:pt idx="7">
                  <c:v>17.642505630306299</c:v>
                </c:pt>
                <c:pt idx="8">
                  <c:v>18.083568271063957</c:v>
                </c:pt>
                <c:pt idx="9">
                  <c:v>18.535657477840555</c:v>
                </c:pt>
                <c:pt idx="10">
                  <c:v>18.999048914786567</c:v>
                </c:pt>
                <c:pt idx="11">
                  <c:v>19.474025137656231</c:v>
                </c:pt>
                <c:pt idx="12">
                  <c:v>19.960875766097633</c:v>
                </c:pt>
                <c:pt idx="13">
                  <c:v>20.459897660250071</c:v>
                </c:pt>
                <c:pt idx="14">
                  <c:v>20.971395101756322</c:v>
                </c:pt>
                <c:pt idx="15">
                  <c:v>21.495679979300228</c:v>
                </c:pt>
                <c:pt idx="16">
                  <c:v>22.033071978782733</c:v>
                </c:pt>
                <c:pt idx="17">
                  <c:v>22.583898778252298</c:v>
                </c:pt>
                <c:pt idx="18">
                  <c:v>23.148496247708604</c:v>
                </c:pt>
                <c:pt idx="19">
                  <c:v>23.727208653901318</c:v>
                </c:pt>
                <c:pt idx="20">
                  <c:v>24.320388870248848</c:v>
                </c:pt>
              </c:numCache>
            </c:numRef>
          </c:val>
          <c:smooth val="0"/>
          <c:extLst>
            <c:ext xmlns:c16="http://schemas.microsoft.com/office/drawing/2014/chart" uri="{C3380CC4-5D6E-409C-BE32-E72D297353CC}">
              <c16:uniqueId val="{00000000-F2CE-464D-A368-0A50BA051182}"/>
            </c:ext>
          </c:extLst>
        </c:ser>
        <c:ser>
          <c:idx val="1"/>
          <c:order val="1"/>
          <c:tx>
            <c:strRef>
              <c:f>'4A'!$W$4</c:f>
              <c:strCache>
                <c:ptCount val="1"/>
                <c:pt idx="0">
                  <c:v>CDA</c:v>
                </c:pt>
              </c:strCache>
            </c:strRef>
          </c:tx>
          <c:spPr>
            <a:ln w="28575" cap="rnd">
              <a:solidFill>
                <a:schemeClr val="accent5"/>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'4A'!$W$30:$W$50</c:f>
              <c:numCache>
                <c:formatCode>"$"#,##0.00</c:formatCode>
                <c:ptCount val="21"/>
                <c:pt idx="0">
                  <c:v>16.326227678571431</c:v>
                </c:pt>
                <c:pt idx="1">
                  <c:v>16.734383370535717</c:v>
                </c:pt>
                <c:pt idx="2">
                  <c:v>17.152742954799109</c:v>
                </c:pt>
                <c:pt idx="3">
                  <c:v>17.581561528669084</c:v>
                </c:pt>
                <c:pt idx="4">
                  <c:v>18.02110056688581</c:v>
                </c:pt>
                <c:pt idx="5">
                  <c:v>18.471628081057954</c:v>
                </c:pt>
                <c:pt idx="6">
                  <c:v>18.933418783084402</c:v>
                </c:pt>
                <c:pt idx="7">
                  <c:v>19.406754252661511</c:v>
                </c:pt>
                <c:pt idx="8">
                  <c:v>19.891923108978048</c:v>
                </c:pt>
                <c:pt idx="9">
                  <c:v>20.389221186702496</c:v>
                </c:pt>
                <c:pt idx="10">
                  <c:v>20.898951716370057</c:v>
                </c:pt>
                <c:pt idx="11">
                  <c:v>21.421425509279306</c:v>
                </c:pt>
                <c:pt idx="12">
                  <c:v>21.956961147011288</c:v>
                </c:pt>
                <c:pt idx="13">
                  <c:v>22.505885175686569</c:v>
                </c:pt>
                <c:pt idx="14">
                  <c:v>23.06853230507873</c:v>
                </c:pt>
                <c:pt idx="15">
                  <c:v>23.645245612705697</c:v>
                </c:pt>
                <c:pt idx="16">
                  <c:v>24.236376753023336</c:v>
                </c:pt>
                <c:pt idx="17">
                  <c:v>24.842286171848919</c:v>
                </c:pt>
                <c:pt idx="18">
                  <c:v>25.463343326145139</c:v>
                </c:pt>
                <c:pt idx="19">
                  <c:v>26.099926909298766</c:v>
                </c:pt>
                <c:pt idx="20">
                  <c:v>26.752425082031234</c:v>
                </c:pt>
              </c:numCache>
            </c:numRef>
          </c:val>
          <c:smooth val="0"/>
          <c:extLst>
            <c:ext xmlns:c16="http://schemas.microsoft.com/office/drawing/2014/chart" uri="{C3380CC4-5D6E-409C-BE32-E72D297353CC}">
              <c16:uniqueId val="{00000001-F2CE-464D-A368-0A50BA051182}"/>
            </c:ext>
          </c:extLst>
        </c:ser>
        <c:ser>
          <c:idx val="2"/>
          <c:order val="2"/>
          <c:tx>
            <c:strRef>
              <c:f>'4A'!$X$4</c:f>
              <c:strCache>
                <c:ptCount val="1"/>
                <c:pt idx="0">
                  <c:v>AA</c:v>
                </c:pt>
              </c:strCache>
            </c:strRef>
          </c:tx>
          <c:spPr>
            <a:ln w="28575" cap="rnd">
              <a:solidFill>
                <a:schemeClr val="accent4"/>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'4A'!$X$30:$X$50</c:f>
              <c:numCache>
                <c:formatCode>"$"#,##0.00</c:formatCode>
                <c:ptCount val="21"/>
                <c:pt idx="0">
                  <c:v>17.958850446428578</c:v>
                </c:pt>
                <c:pt idx="1">
                  <c:v>18.407821707589292</c:v>
                </c:pt>
                <c:pt idx="2">
                  <c:v>18.868017250279024</c:v>
                </c:pt>
                <c:pt idx="3">
                  <c:v>19.339717681535998</c:v>
                </c:pt>
                <c:pt idx="4">
                  <c:v>19.823210623574397</c:v>
                </c:pt>
                <c:pt idx="5">
                  <c:v>20.318790889163754</c:v>
                </c:pt>
                <c:pt idx="6">
                  <c:v>20.826760661392846</c:v>
                </c:pt>
                <c:pt idx="7">
                  <c:v>21.347429677927664</c:v>
                </c:pt>
                <c:pt idx="8">
                  <c:v>21.881115419875854</c:v>
                </c:pt>
                <c:pt idx="9">
                  <c:v>22.42814330537275</c:v>
                </c:pt>
                <c:pt idx="10">
                  <c:v>22.988846888007068</c:v>
                </c:pt>
                <c:pt idx="11">
                  <c:v>23.563568060207242</c:v>
                </c:pt>
                <c:pt idx="12">
                  <c:v>24.15265726171242</c:v>
                </c:pt>
                <c:pt idx="13">
                  <c:v>24.756473693255227</c:v>
                </c:pt>
                <c:pt idx="14">
                  <c:v>25.375385535586606</c:v>
                </c:pt>
                <c:pt idx="15">
                  <c:v>26.009770173976268</c:v>
                </c:pt>
                <c:pt idx="16">
                  <c:v>26.66001442832567</c:v>
                </c:pt>
                <c:pt idx="17">
                  <c:v>27.326514789033808</c:v>
                </c:pt>
                <c:pt idx="18">
                  <c:v>28.009677658759653</c:v>
                </c:pt>
                <c:pt idx="19">
                  <c:v>28.709919600228641</c:v>
                </c:pt>
                <c:pt idx="20">
                  <c:v>29.427667590234353</c:v>
                </c:pt>
              </c:numCache>
            </c:numRef>
          </c:val>
          <c:smooth val="0"/>
          <c:extLst>
            <c:ext xmlns:c16="http://schemas.microsoft.com/office/drawing/2014/chart" uri="{C3380CC4-5D6E-409C-BE32-E72D297353CC}">
              <c16:uniqueId val="{00000002-F2CE-464D-A368-0A50BA051182}"/>
            </c:ext>
          </c:extLst>
        </c:ser>
        <c:ser>
          <c:idx val="3"/>
          <c:order val="3"/>
          <c:tx>
            <c:strRef>
              <c:f>'4A'!$Y$4</c:f>
              <c:strCache>
                <c:ptCount val="1"/>
                <c:pt idx="0">
                  <c:v>BA</c:v>
                </c:pt>
              </c:strCache>
            </c:strRef>
          </c:tx>
          <c:spPr>
            <a:ln w="28575" cap="rnd">
              <a:solidFill>
                <a:schemeClr val="accent6">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'4A'!$Y$30:$Y$50</c:f>
              <c:numCache>
                <c:formatCode>"$"#,##0.00</c:formatCode>
                <c:ptCount val="21"/>
                <c:pt idx="0">
                  <c:v>19.754735491071401</c:v>
                </c:pt>
                <c:pt idx="1">
                  <c:v>20.248603878348185</c:v>
                </c:pt>
                <c:pt idx="2">
                  <c:v>20.754818975306886</c:v>
                </c:pt>
                <c:pt idx="3">
                  <c:v>21.273689449689556</c:v>
                </c:pt>
                <c:pt idx="4">
                  <c:v>21.805531685931793</c:v>
                </c:pt>
                <c:pt idx="5">
                  <c:v>22.350669978080088</c:v>
                </c:pt>
                <c:pt idx="6">
                  <c:v>22.909436727532089</c:v>
                </c:pt>
                <c:pt idx="7">
                  <c:v>23.482172645720389</c:v>
                </c:pt>
                <c:pt idx="8">
                  <c:v>24.069226961863396</c:v>
                </c:pt>
                <c:pt idx="9">
                  <c:v>24.670957635909978</c:v>
                </c:pt>
                <c:pt idx="10">
                  <c:v>25.287731576807726</c:v>
                </c:pt>
                <c:pt idx="11">
                  <c:v>25.919924866227916</c:v>
                </c:pt>
                <c:pt idx="12">
                  <c:v>26.567922987883613</c:v>
                </c:pt>
                <c:pt idx="13">
                  <c:v>27.232121062580699</c:v>
                </c:pt>
                <c:pt idx="14">
                  <c:v>27.912924089145214</c:v>
                </c:pt>
                <c:pt idx="15">
                  <c:v>28.610747191373843</c:v>
                </c:pt>
                <c:pt idx="16">
                  <c:v>29.326015871158187</c:v>
                </c:pt>
                <c:pt idx="17">
                  <c:v>30.05916626793714</c:v>
                </c:pt>
                <c:pt idx="18">
                  <c:v>30.810645424635567</c:v>
                </c:pt>
                <c:pt idx="19">
                  <c:v>31.580911560251455</c:v>
                </c:pt>
                <c:pt idx="20">
                  <c:v>32.370434349257735</c:v>
                </c:pt>
              </c:numCache>
            </c:numRef>
          </c:val>
          <c:smooth val="0"/>
          <c:extLst>
            <c:ext xmlns:c16="http://schemas.microsoft.com/office/drawing/2014/chart" uri="{C3380CC4-5D6E-409C-BE32-E72D297353CC}">
              <c16:uniqueId val="{00000003-F2CE-464D-A368-0A50BA051182}"/>
            </c:ext>
          </c:extLst>
        </c:ser>
        <c:ser>
          <c:idx val="4"/>
          <c:order val="4"/>
          <c:tx>
            <c:strRef>
              <c:f>'4A'!$Z$4</c:f>
              <c:strCache>
                <c:ptCount val="1"/>
                <c:pt idx="0">
                  <c:v>MA</c:v>
                </c:pt>
              </c:strCache>
            </c:strRef>
          </c:tx>
          <c:spPr>
            <a:ln w="28575" cap="rnd">
              <a:solidFill>
                <a:schemeClr val="accent5">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'4A'!$Z$30:$Z$50</c:f>
              <c:numCache>
                <c:formatCode>"$"#,##0.00</c:formatCode>
                <c:ptCount val="21"/>
                <c:pt idx="0">
                  <c:v>21.730209040178583</c:v>
                </c:pt>
                <c:pt idx="1">
                  <c:v>22.273464266183044</c:v>
                </c:pt>
                <c:pt idx="2">
                  <c:v>22.830300872837618</c:v>
                </c:pt>
                <c:pt idx="3">
                  <c:v>23.401058394658556</c:v>
                </c:pt>
                <c:pt idx="4">
                  <c:v>23.986084854525018</c:v>
                </c:pt>
                <c:pt idx="5">
                  <c:v>24.585736975888143</c:v>
                </c:pt>
                <c:pt idx="6">
                  <c:v>25.200380400285344</c:v>
                </c:pt>
                <c:pt idx="7">
                  <c:v>25.830389910292475</c:v>
                </c:pt>
                <c:pt idx="8">
                  <c:v>26.476149658049785</c:v>
                </c:pt>
                <c:pt idx="9">
                  <c:v>27.138053399501025</c:v>
                </c:pt>
                <c:pt idx="10">
                  <c:v>27.81650473448855</c:v>
                </c:pt>
                <c:pt idx="11">
                  <c:v>28.511917352850762</c:v>
                </c:pt>
                <c:pt idx="12">
                  <c:v>29.22471528667203</c:v>
                </c:pt>
                <c:pt idx="13">
                  <c:v>29.955333168838827</c:v>
                </c:pt>
                <c:pt idx="14">
                  <c:v>30.704216498059797</c:v>
                </c:pt>
                <c:pt idx="15">
                  <c:v>31.471821910511288</c:v>
                </c:pt>
                <c:pt idx="16">
                  <c:v>32.258617458274067</c:v>
                </c:pt>
                <c:pt idx="17">
                  <c:v>33.065082894730914</c:v>
                </c:pt>
                <c:pt idx="18">
                  <c:v>33.891709967099182</c:v>
                </c:pt>
                <c:pt idx="19">
                  <c:v>34.739002716276659</c:v>
                </c:pt>
                <c:pt idx="20">
                  <c:v>35.607477784183573</c:v>
                </c:pt>
              </c:numCache>
            </c:numRef>
          </c:val>
          <c:smooth val="0"/>
          <c:extLst>
            <c:ext xmlns:c16="http://schemas.microsoft.com/office/drawing/2014/chart" uri="{C3380CC4-5D6E-409C-BE32-E72D297353CC}">
              <c16:uniqueId val="{00000004-F2CE-464D-A368-0A50BA051182}"/>
            </c:ext>
          </c:extLst>
        </c:ser>
        <c:ser>
          <c:idx val="5"/>
          <c:order val="5"/>
          <c:tx>
            <c:strRef>
              <c:f>'4A'!$AA$4</c:f>
              <c:strCache>
                <c:ptCount val="1"/>
                <c:pt idx="0">
                  <c:v>Ed.D. or Ph.D.</c:v>
                </c:pt>
              </c:strCache>
            </c:strRef>
          </c:tx>
          <c:spPr>
            <a:ln w="28575" cap="rnd">
              <a:solidFill>
                <a:schemeClr val="accent4">
                  <a:lumMod val="60000"/>
                </a:schemeClr>
              </a:solidFill>
              <a:round/>
            </a:ln>
            <a:effectLst/>
          </c:spPr>
          <c:marker>
            <c:symbol val="none"/>
          </c:marker>
          <c:cat>
            <c:numRef>
              <c:f>'4A'!$U$30:$U$50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'4A'!$AA$30:$AA$50</c:f>
              <c:numCache>
                <c:formatCode>"$"#,##0.00</c:formatCode>
                <c:ptCount val="21"/>
                <c:pt idx="0">
                  <c:v>23.903229944196443</c:v>
                </c:pt>
                <c:pt idx="1">
                  <c:v>24.500810692801352</c:v>
                </c:pt>
                <c:pt idx="2">
                  <c:v>25.113330960121385</c:v>
                </c:pt>
                <c:pt idx="3">
                  <c:v>25.741164234124415</c:v>
                </c:pt>
                <c:pt idx="4">
                  <c:v>26.384693339977524</c:v>
                </c:pt>
                <c:pt idx="5">
                  <c:v>27.044310673476961</c:v>
                </c:pt>
                <c:pt idx="6">
                  <c:v>27.720418440313882</c:v>
                </c:pt>
                <c:pt idx="7">
                  <c:v>28.413428901321726</c:v>
                </c:pt>
                <c:pt idx="8">
                  <c:v>29.123764623854768</c:v>
                </c:pt>
                <c:pt idx="9">
                  <c:v>29.851858739451135</c:v>
                </c:pt>
                <c:pt idx="10">
                  <c:v>30.59815520793741</c:v>
                </c:pt>
                <c:pt idx="11">
                  <c:v>31.363109088135843</c:v>
                </c:pt>
                <c:pt idx="12">
                  <c:v>32.147186815339239</c:v>
                </c:pt>
                <c:pt idx="13">
                  <c:v>32.95086648572272</c:v>
                </c:pt>
                <c:pt idx="14">
                  <c:v>33.774638147865787</c:v>
                </c:pt>
                <c:pt idx="15">
                  <c:v>34.619004101562432</c:v>
                </c:pt>
                <c:pt idx="16">
                  <c:v>35.48447920410149</c:v>
                </c:pt>
                <c:pt idx="17">
                  <c:v>36.371591184204021</c:v>
                </c:pt>
                <c:pt idx="18">
                  <c:v>37.280880963809118</c:v>
                </c:pt>
                <c:pt idx="19">
                  <c:v>38.212902987904343</c:v>
                </c:pt>
                <c:pt idx="20">
                  <c:v>39.168225562601947</c:v>
                </c:pt>
              </c:numCache>
            </c:numRef>
          </c:val>
          <c:smooth val="0"/>
          <c:extLst>
            <c:ext xmlns:c16="http://schemas.microsoft.com/office/drawing/2014/chart" uri="{C3380CC4-5D6E-409C-BE32-E72D297353CC}">
              <c16:uniqueId val="{00000005-F2CE-464D-A368-0A50BA051182}"/>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4"/>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'4B'!$A$6:$A$12</c:f>
              <c:strCache>
                <c:ptCount val="7"/>
                <c:pt idx="0">
                  <c:v>14-18</c:v>
                </c:pt>
                <c:pt idx="1">
                  <c:v>19-24</c:v>
                </c:pt>
                <c:pt idx="2">
                  <c:v>25-34</c:v>
                </c:pt>
                <c:pt idx="3">
                  <c:v>35-44</c:v>
                </c:pt>
                <c:pt idx="4">
                  <c:v>45-54</c:v>
                </c:pt>
                <c:pt idx="5">
                  <c:v>55-64</c:v>
                </c:pt>
                <c:pt idx="6">
                  <c:v>65+</c:v>
                </c:pt>
              </c:strCache>
            </c:strRef>
          </c:cat>
          <c:val>
            <c:numRef>
              <c:f>'4B'!$C$6:$C$12</c:f>
              <c:numCache>
                <c:formatCode>0.0%;[Red]\ \(0.0%\)</c:formatCode>
                <c:ptCount val="7"/>
                <c:pt idx="0">
                  <c:v>6.0821750420039712E-2</c:v>
                </c:pt>
                <c:pt idx="1">
                  <c:v>0.26815335268061707</c:v>
                </c:pt>
                <c:pt idx="2">
                  <c:v>0.19077440048877348</c:v>
                </c:pt>
                <c:pt idx="3">
                  <c:v>0.15142813502367497</c:v>
                </c:pt>
                <c:pt idx="4">
                  <c:v>0.15042003971284557</c:v>
                </c:pt>
                <c:pt idx="5">
                  <c:v>0.11067664579196579</c:v>
                </c:pt>
                <c:pt idx="6">
                  <c:v>6.8275546051626695E-2</c:v>
                </c:pt>
              </c:numCache>
            </c:numRef>
          </c:val>
          <c:extLst>
            <c:ext xmlns:c16="http://schemas.microsoft.com/office/drawing/2014/chart" uri="{C3380CC4-5D6E-409C-BE32-E72D297353CC}">
              <c16:uniqueId val="{00000000-EBCB-4DE3-8CF0-97746BFEFF76}"/>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E24E-4661-8880-5313F7D11D54}"/>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E24E-4661-8880-5313F7D11D54}"/>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E24E-4661-8880-5313F7D11D54}"/>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E24E-4661-8880-5313F7D11D54}"/>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E24E-4661-8880-5313F7D11D54}"/>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E24E-4661-8880-5313F7D11D54}"/>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E24E-4661-8880-5313F7D11D54}"/>
              </c:ext>
            </c:extLst>
          </c:dPt>
          <c:dLbls>
            <c:dLbl>
              <c:idx val="0"/>
              <c:layout>
                <c:manualLayout>
                  <c:x val="-9.8545910498235037E-2"/>
                  <c:y val="0.1582207839215246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24E-4661-8880-5313F7D11D54}"/>
                </c:ext>
              </c:extLst>
            </c:dLbl>
            <c:dLbl>
              <c:idx val="2"/>
              <c:layout>
                <c:manualLayout>
                  <c:x val="0.1016713395243788"/>
                  <c:y val="-0.121213477931318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24E-4661-8880-5313F7D11D54}"/>
                </c:ext>
              </c:extLst>
            </c:dLbl>
            <c:dLbl>
              <c:idx val="3"/>
              <c:layout>
                <c:manualLayout>
                  <c:x val="0.16574334140090041"/>
                  <c:y val="-2.6409647488810292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24E-4661-8880-5313F7D11D54}"/>
                </c:ext>
              </c:extLst>
            </c:dLbl>
            <c:dLbl>
              <c:idx val="4"/>
              <c:layout>
                <c:manualLayout>
                  <c:x val="0.12792621871259044"/>
                  <c:y val="0.14899654564005288"/>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24E-4661-8880-5313F7D11D54}"/>
                </c:ext>
              </c:extLst>
            </c:dLbl>
            <c:dLbl>
              <c:idx val="5"/>
              <c:layout>
                <c:manualLayout>
                  <c:x val="-2.0498206308766236E-2"/>
                  <c:y val="5.5668290640437578E-3"/>
                </c:manualLayout>
              </c:layout>
              <c:tx>
                <c:rich>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fld id="{ABE924FB-1D3A-48C8-A768-E4F6E16640F4}" type="VALUE">
                      <a:rPr lang="en-US">
                        <a:solidFill>
                          <a:srgbClr val="A2AE74"/>
                        </a:solidFill>
                      </a:rPr>
                      <a:pPr>
                        <a:defRPr sz="1000" b="1">
                          <a:solidFill>
                            <a:srgbClr val="605677"/>
                          </a:solidFill>
                        </a:defRPr>
                      </a:pPr>
                      <a:t>[VALUE]</a:t>
                    </a:fld>
                    <a:endParaRPr lang="en-US"/>
                  </a:p>
                </c:rich>
              </c:tx>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E24E-4661-8880-5313F7D11D54}"/>
                </c:ext>
              </c:extLst>
            </c:dLbl>
            <c:dLbl>
              <c:idx val="6"/>
              <c:layout>
                <c:manualLayout>
                  <c:x val="5.8704115207531216E-2"/>
                  <c:y val="1.8905022127325766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3053994961669846"/>
                      <c:h val="9.2097347621612008E-2"/>
                    </c:manualLayout>
                  </c15:layout>
                </c:ext>
                <c:ext xmlns:c16="http://schemas.microsoft.com/office/drawing/2014/chart" uri="{C3380CC4-5D6E-409C-BE32-E72D297353CC}">
                  <c16:uniqueId val="{0000000D-E24E-4661-8880-5313F7D11D5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'4B'!$E$6:$E$12</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'4B'!$G$6:$G$12</c:f>
              <c:numCache>
                <c:formatCode>0.0%;[Red]\ \(0.0%\)</c:formatCode>
                <c:ptCount val="7"/>
                <c:pt idx="0">
                  <c:v>0.11700000000000001</c:v>
                </c:pt>
                <c:pt idx="1">
                  <c:v>0.32</c:v>
                </c:pt>
                <c:pt idx="2">
                  <c:v>0.254</c:v>
                </c:pt>
                <c:pt idx="3">
                  <c:v>0.113</c:v>
                </c:pt>
                <c:pt idx="4">
                  <c:v>0.159</c:v>
                </c:pt>
                <c:pt idx="5">
                  <c:v>3.1E-2</c:v>
                </c:pt>
                <c:pt idx="6">
                  <c:v>6.0000000000000001E-3</c:v>
                </c:pt>
              </c:numCache>
            </c:numRef>
          </c:val>
          <c:extLst>
            <c:ext xmlns:c16="http://schemas.microsoft.com/office/drawing/2014/chart" uri="{C3380CC4-5D6E-409C-BE32-E72D297353CC}">
              <c16:uniqueId val="{0000000E-E24E-4661-8880-5313F7D11D54}"/>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1F96-4B05-A3D5-E4E720C2453A}"/>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1F96-4B05-A3D5-E4E720C2453A}"/>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1F96-4B05-A3D5-E4E720C2453A}"/>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1F96-4B05-A3D5-E4E720C2453A}"/>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1F96-4B05-A3D5-E4E720C2453A}"/>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1F96-4B05-A3D5-E4E720C2453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F96-4B05-A3D5-E4E720C2453A}"/>
              </c:ext>
            </c:extLst>
          </c:dPt>
          <c:dLbls>
            <c:dLbl>
              <c:idx val="2"/>
              <c:layout>
                <c:manualLayout>
                  <c:x val="-4.4746906636670414E-2"/>
                  <c:y val="4.2247227939871124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96-4B05-A3D5-E4E720C2453A}"/>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F96-4B05-A3D5-E4E720C2453A}"/>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F96-4B05-A3D5-E4E720C2453A}"/>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F96-4B05-A3D5-E4E720C2453A}"/>
                </c:ext>
              </c:extLst>
            </c:dLbl>
            <c:dLbl>
              <c:idx val="6"/>
              <c:delete val="1"/>
              <c:extLst>
                <c:ext xmlns:c15="http://schemas.microsoft.com/office/drawing/2012/chart" uri="{CE6537A1-D6FC-4f65-9D91-7224C49458BB}"/>
                <c:ext xmlns:c16="http://schemas.microsoft.com/office/drawing/2014/chart" uri="{C3380CC4-5D6E-409C-BE32-E72D297353CC}">
                  <c16:uniqueId val="{0000000D-1F96-4B05-A3D5-E4E720C2453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'4B'!$I$6:$I$12</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'4B'!$K$6:$K$12</c:f>
              <c:numCache>
                <c:formatCode>0.0%;[Red]\ \(0.0%\)</c:formatCode>
                <c:ptCount val="7"/>
                <c:pt idx="0">
                  <c:v>0.74938139605926379</c:v>
                </c:pt>
                <c:pt idx="1">
                  <c:v>0.14834275240568198</c:v>
                </c:pt>
                <c:pt idx="2">
                  <c:v>5.5292500381854286E-2</c:v>
                </c:pt>
                <c:pt idx="3">
                  <c:v>3.0242859324881625E-2</c:v>
                </c:pt>
                <c:pt idx="4">
                  <c:v>1.4174431037116237E-2</c:v>
                </c:pt>
                <c:pt idx="5">
                  <c:v>2.9326409042309456E-3</c:v>
                </c:pt>
                <c:pt idx="6">
                  <c:v>1.832900565144341E-4</c:v>
                </c:pt>
              </c:numCache>
            </c:numRef>
          </c:val>
          <c:extLst>
            <c:ext xmlns:c16="http://schemas.microsoft.com/office/drawing/2014/chart" uri="{C3380CC4-5D6E-409C-BE32-E72D297353CC}">
              <c16:uniqueId val="{0000000E-1F96-4B05-A3D5-E4E720C2453A}"/>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006538730793378"/>
          <c:y val="1.2780718018365981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6176-4274-99E1-E2C8D4371E61}"/>
              </c:ext>
            </c:extLst>
          </c:dPt>
          <c:dLbls>
            <c:dLbl>
              <c:idx val="0"/>
              <c:layout>
                <c:manualLayout>
                  <c:x val="-0.20037124979250717"/>
                  <c:y val="2.35375752368399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8517310315461284"/>
                      <c:h val="0.1751558854687536"/>
                    </c:manualLayout>
                  </c15:layout>
                </c:ext>
                <c:ext xmlns:c16="http://schemas.microsoft.com/office/drawing/2014/chart" uri="{C3380CC4-5D6E-409C-BE32-E72D297353CC}">
                  <c16:uniqueId val="{00000000-6176-4274-99E1-E2C8D4371E61}"/>
                </c:ext>
              </c:extLst>
            </c:dLbl>
            <c:dLbl>
              <c:idx val="1"/>
              <c:layout>
                <c:manualLayout>
                  <c:x val="3.4886654782439248E-2"/>
                  <c:y val="-9.3043849575990042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1-6176-4274-99E1-E2C8D4371E61}"/>
                </c:ext>
              </c:extLst>
            </c:dLbl>
            <c:dLbl>
              <c:idx val="2"/>
              <c:layout>
                <c:manualLayout>
                  <c:x val="4.5828852690911456E-2"/>
                  <c:y val="-1.3615653265940499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147150311419689"/>
                      <c:h val="0.16022045997240728"/>
                    </c:manualLayout>
                  </c15:layout>
                </c:ext>
                <c:ext xmlns:c16="http://schemas.microsoft.com/office/drawing/2014/chart" uri="{C3380CC4-5D6E-409C-BE32-E72D297353CC}">
                  <c16:uniqueId val="{00000002-6176-4274-99E1-E2C8D4371E61}"/>
                </c:ext>
              </c:extLst>
            </c:dLbl>
            <c:dLbl>
              <c:idx val="3"/>
              <c:layout>
                <c:manualLayout>
                  <c:x val="-2.3331865847761604E-2"/>
                  <c:y val="-1.0865834338468107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36458115315"/>
                      <c:h val="0.19683899631331145"/>
                    </c:manualLayout>
                  </c15:layout>
                </c:ext>
                <c:ext xmlns:c16="http://schemas.microsoft.com/office/drawing/2014/chart" uri="{C3380CC4-5D6E-409C-BE32-E72D297353CC}">
                  <c16:uniqueId val="{00000003-6176-4274-99E1-E2C8D4371E61}"/>
                </c:ext>
              </c:extLst>
            </c:dLbl>
            <c:dLbl>
              <c:idx val="4"/>
              <c:layout>
                <c:manualLayout>
                  <c:x val="-1.3721519352766691E-2"/>
                  <c:y val="-6.8789026967759825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762932757886532"/>
                      <c:h val="0.18220900328932982"/>
                    </c:manualLayout>
                  </c15:layout>
                </c:ext>
                <c:ext xmlns:c16="http://schemas.microsoft.com/office/drawing/2014/chart" uri="{C3380CC4-5D6E-409C-BE32-E72D297353CC}">
                  <c16:uniqueId val="{00000004-6176-4274-99E1-E2C8D4371E61}"/>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'4C'!$B$8:$B$12</c:f>
              <c:numCache>
                <c:formatCode>0%</c:formatCode>
                <c:ptCount val="5"/>
                <c:pt idx="0">
                  <c:v>0.97</c:v>
                </c:pt>
                <c:pt idx="1">
                  <c:v>0.95</c:v>
                </c:pt>
                <c:pt idx="2">
                  <c:v>0.95</c:v>
                </c:pt>
                <c:pt idx="3">
                  <c:v>0.95</c:v>
                </c:pt>
                <c:pt idx="4">
                  <c:v>0.94</c:v>
                </c:pt>
              </c:numCache>
            </c:numRef>
          </c:val>
          <c:extLst>
            <c:ext xmlns:c16="http://schemas.microsoft.com/office/drawing/2014/chart" uri="{C3380CC4-5D6E-409C-BE32-E72D297353CC}">
              <c16:uniqueId val="{00000006-6176-4274-99E1-E2C8D4371E61}"/>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269058034412365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'4C'!$A$8:$A$12</c:f>
              <c:strCache>
                <c:ptCount val="5"/>
                <c:pt idx="0">
                  <c:v>Home Health and Personal Care Aide</c:v>
                </c:pt>
                <c:pt idx="1">
                  <c:v>Library Assistant</c:v>
                </c:pt>
                <c:pt idx="2">
                  <c:v>Waiter/Waitress</c:v>
                </c:pt>
                <c:pt idx="3">
                  <c:v>Library Technician</c:v>
                </c:pt>
                <c:pt idx="4">
                  <c:v>Bank Teller</c:v>
                </c:pt>
              </c:strCache>
            </c:strRef>
          </c:cat>
          <c:val>
            <c:numRef>
              <c:f>'4C'!$C$8:$C$12</c:f>
              <c:numCache>
                <c:formatCode>"$"#,##0.00_);\("$"#,##0.00\)</c:formatCode>
                <c:ptCount val="5"/>
                <c:pt idx="0">
                  <c:v>13.69</c:v>
                </c:pt>
                <c:pt idx="1">
                  <c:v>13.69</c:v>
                </c:pt>
                <c:pt idx="2">
                  <c:v>14.88</c:v>
                </c:pt>
                <c:pt idx="3">
                  <c:v>15.74</c:v>
                </c:pt>
                <c:pt idx="4">
                  <c:v>17.57</c:v>
                </c:pt>
              </c:numCache>
            </c:numRef>
          </c:val>
          <c:extLst>
            <c:ext xmlns:c16="http://schemas.microsoft.com/office/drawing/2014/chart" uri="{C3380CC4-5D6E-409C-BE32-E72D297353CC}">
              <c16:uniqueId val="{00000000-B731-4F12-82DC-DFCC31C0D937}"/>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majorUnit val="4"/>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003E51"/>
            </a:solidFill>
            <a:ln>
              <a:noFill/>
            </a:ln>
            <a:effectLst/>
          </c:spPr>
          <c:invertIfNegative val="0"/>
          <c:dPt>
            <c:idx val="1"/>
            <c:invertIfNegative val="0"/>
            <c:bubble3D val="0"/>
            <c:spPr>
              <a:solidFill>
                <a:srgbClr val="D45D00"/>
              </a:solidFill>
              <a:ln>
                <a:noFill/>
              </a:ln>
              <a:effectLst/>
            </c:spPr>
            <c:extLst>
              <c:ext xmlns:c16="http://schemas.microsoft.com/office/drawing/2014/chart" uri="{C3380CC4-5D6E-409C-BE32-E72D297353CC}">
                <c16:uniqueId val="{00000001-F6ED-486E-9738-73E027D527C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'4C'!$Y$29:$Y$34</c:f>
              <c:strCache>
                <c:ptCount val="6"/>
                <c:pt idx="0">
                  <c:v>Library Assistant</c:v>
                </c:pt>
                <c:pt idx="1">
                  <c:v>Aide/Floater</c:v>
                </c:pt>
                <c:pt idx="2">
                  <c:v>Library Technician</c:v>
                </c:pt>
                <c:pt idx="3">
                  <c:v>Home Health and Personal Care Aide</c:v>
                </c:pt>
                <c:pt idx="4">
                  <c:v>Bank Teller</c:v>
                </c:pt>
                <c:pt idx="5">
                  <c:v>Waiter/Waitress</c:v>
                </c:pt>
              </c:strCache>
            </c:strRef>
          </c:cat>
          <c:val>
            <c:numRef>
              <c:f>'4C'!$Z$29:$Z$34</c:f>
              <c:numCache>
                <c:formatCode>_("$"* #,##0.00_);_("$"* \(#,##0.00\);_("$"* "-"??_);_(@_)</c:formatCode>
                <c:ptCount val="6"/>
                <c:pt idx="0">
                  <c:v>3.5700000000000003</c:v>
                </c:pt>
                <c:pt idx="1">
                  <c:v>4.3699999999999992</c:v>
                </c:pt>
                <c:pt idx="2">
                  <c:v>4.620000000000001</c:v>
                </c:pt>
                <c:pt idx="3">
                  <c:v>4.8499999999999996</c:v>
                </c:pt>
                <c:pt idx="4">
                  <c:v>7.34</c:v>
                </c:pt>
                <c:pt idx="5">
                  <c:v>8.43</c:v>
                </c:pt>
              </c:numCache>
            </c:numRef>
          </c:val>
          <c:extLst>
            <c:ext xmlns:c16="http://schemas.microsoft.com/office/drawing/2014/chart" uri="{C3380CC4-5D6E-409C-BE32-E72D297353CC}">
              <c16:uniqueId val="{00000003-F6ED-486E-9738-73E027D527C1}"/>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_(&quot;$&quot;* #,##0.00_);_(&quot;$&quot;* \(#,##0.00\);_(&quot;$&quot;* &quot;-&quot;??_);_(@_)"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'4D'!$A$11</c:f>
              <c:strCache>
                <c:ptCount val="1"/>
                <c:pt idx="0">
                  <c:v>Michigan</c:v>
                </c:pt>
              </c:strCache>
            </c:strRef>
          </c:tx>
          <c:spPr>
            <a:ln w="28575" cap="rnd">
              <a:solidFill>
                <a:srgbClr val="D45D00"/>
              </a:solidFill>
              <a:round/>
            </a:ln>
            <a:effectLst/>
          </c:spPr>
          <c:marker>
            <c:symbol val="none"/>
          </c:marker>
          <c:cat>
            <c:numRef>
              <c:f>'4D'!$B$10:$W$10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'4D'!$B$11:$W$11</c:f>
              <c:numCache>
                <c:formatCode>0.0%</c:formatCode>
                <c:ptCount val="22"/>
                <c:pt idx="0">
                  <c:v>0</c:v>
                </c:pt>
                <c:pt idx="1">
                  <c:v>2.7771265372237262E-2</c:v>
                </c:pt>
                <c:pt idx="2">
                  <c:v>2.7387625482214028E-2</c:v>
                </c:pt>
                <c:pt idx="3">
                  <c:v>3.9109955455146103E-2</c:v>
                </c:pt>
                <c:pt idx="4">
                  <c:v>5.1791385153136256E-2</c:v>
                </c:pt>
                <c:pt idx="5">
                  <c:v>4.1283914831944414E-2</c:v>
                </c:pt>
                <c:pt idx="6">
                  <c:v>1.7157228414927856E-2</c:v>
                </c:pt>
                <c:pt idx="7">
                  <c:v>-3.4762036701549481E-2</c:v>
                </c:pt>
                <c:pt idx="8">
                  <c:v>-5.8185383320190118E-2</c:v>
                </c:pt>
                <c:pt idx="9">
                  <c:v>-0.13290990856582621</c:v>
                </c:pt>
                <c:pt idx="10">
                  <c:v>-0.11769219292823803</c:v>
                </c:pt>
                <c:pt idx="11">
                  <c:v>-0.13548882115987126</c:v>
                </c:pt>
                <c:pt idx="12">
                  <c:v>-0.16728830537735245</c:v>
                </c:pt>
                <c:pt idx="13">
                  <c:v>-0.17150834416760802</c:v>
                </c:pt>
                <c:pt idx="14">
                  <c:v>-0.19655150365523563</c:v>
                </c:pt>
                <c:pt idx="15">
                  <c:v>-0.22494085551695475</c:v>
                </c:pt>
                <c:pt idx="16">
                  <c:v>-0.25322364074255632</c:v>
                </c:pt>
                <c:pt idx="17">
                  <c:v>-0.2180779641509836</c:v>
                </c:pt>
                <c:pt idx="18">
                  <c:v>-0.22455721562693151</c:v>
                </c:pt>
                <c:pt idx="19">
                  <c:v>-0.28977599693088085</c:v>
                </c:pt>
                <c:pt idx="20">
                  <c:v>-0.3285449391504508</c:v>
                </c:pt>
                <c:pt idx="21">
                  <c:v>-0.30192459344828321</c:v>
                </c:pt>
              </c:numCache>
            </c:numRef>
          </c:val>
          <c:smooth val="0"/>
          <c:extLst>
            <c:ext xmlns:c16="http://schemas.microsoft.com/office/drawing/2014/chart" uri="{C3380CC4-5D6E-409C-BE32-E72D297353CC}">
              <c16:uniqueId val="{00000000-A146-4A9C-867C-9C5695CBC6F8}"/>
            </c:ext>
          </c:extLst>
        </c:ser>
        <c:ser>
          <c:idx val="1"/>
          <c:order val="1"/>
          <c:tx>
            <c:strRef>
              <c:f>'4D'!$A$12</c:f>
              <c:strCache>
                <c:ptCount val="1"/>
                <c:pt idx="0">
                  <c:v>United States</c:v>
                </c:pt>
              </c:strCache>
            </c:strRef>
          </c:tx>
          <c:spPr>
            <a:ln w="28575" cap="rnd">
              <a:solidFill>
                <a:srgbClr val="003E51"/>
              </a:solidFill>
              <a:round/>
            </a:ln>
            <a:effectLst/>
          </c:spPr>
          <c:marker>
            <c:symbol val="none"/>
          </c:marker>
          <c:cat>
            <c:numRef>
              <c:f>'4D'!$B$10:$W$10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'4D'!$B$12:$W$12</c:f>
              <c:numCache>
                <c:formatCode>0.0%</c:formatCode>
                <c:ptCount val="22"/>
                <c:pt idx="0">
                  <c:v>0</c:v>
                </c:pt>
                <c:pt idx="1">
                  <c:v>3.6588825256607199E-2</c:v>
                </c:pt>
                <c:pt idx="2">
                  <c:v>4.9001972156908678E-2</c:v>
                </c:pt>
                <c:pt idx="3">
                  <c:v>5.5355120262304318E-2</c:v>
                </c:pt>
                <c:pt idx="4">
                  <c:v>6.582522207922073E-2</c:v>
                </c:pt>
                <c:pt idx="5">
                  <c:v>9.1722560242860324E-2</c:v>
                </c:pt>
                <c:pt idx="6">
                  <c:v>9.8012745563323969E-2</c:v>
                </c:pt>
                <c:pt idx="7">
                  <c:v>9.4276953657359233E-2</c:v>
                </c:pt>
                <c:pt idx="8">
                  <c:v>0.10956133895439801</c:v>
                </c:pt>
                <c:pt idx="9">
                  <c:v>7.6622324166267783E-2</c:v>
                </c:pt>
                <c:pt idx="10">
                  <c:v>9.8852926381609987E-2</c:v>
                </c:pt>
                <c:pt idx="11">
                  <c:v>0.13136271100149419</c:v>
                </c:pt>
                <c:pt idx="12">
                  <c:v>4.9027698886235725E-2</c:v>
                </c:pt>
                <c:pt idx="13">
                  <c:v>6.4547686862374859E-2</c:v>
                </c:pt>
                <c:pt idx="14">
                  <c:v>3.9671293641503444E-2</c:v>
                </c:pt>
                <c:pt idx="15">
                  <c:v>1.1551301467845313E-2</c:v>
                </c:pt>
                <c:pt idx="16">
                  <c:v>-1.6236274282139626E-2</c:v>
                </c:pt>
                <c:pt idx="17">
                  <c:v>7.4106520845759454E-3</c:v>
                </c:pt>
                <c:pt idx="18">
                  <c:v>-2.360495117676091E-2</c:v>
                </c:pt>
                <c:pt idx="19">
                  <c:v>-0.12390263651584259</c:v>
                </c:pt>
                <c:pt idx="20">
                  <c:v>-0.17920765735787844</c:v>
                </c:pt>
                <c:pt idx="21">
                  <c:v>-0.17747719630103795</c:v>
                </c:pt>
              </c:numCache>
            </c:numRef>
          </c:val>
          <c:smooth val="0"/>
          <c:extLst>
            <c:ext xmlns:c16="http://schemas.microsoft.com/office/drawing/2014/chart" uri="{C3380CC4-5D6E-409C-BE32-E72D297353CC}">
              <c16:uniqueId val="{00000001-A146-4A9C-867C-9C5695CBC6F8}"/>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'4D'!$A$22</c:f>
              <c:strCache>
                <c:ptCount val="1"/>
                <c:pt idx="0">
                  <c:v>Michigan </c:v>
                </c:pt>
              </c:strCache>
            </c:strRef>
          </c:tx>
          <c:spPr>
            <a:ln w="28575" cap="rnd">
              <a:solidFill>
                <a:srgbClr val="D45D00"/>
              </a:solidFill>
              <a:round/>
            </a:ln>
            <a:effectLst/>
          </c:spPr>
          <c:marker>
            <c:symbol val="none"/>
          </c:marker>
          <c:cat>
            <c:numRef>
              <c:f>'4D'!$B$21:$S$21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'4D'!$B$22:$S$22</c:f>
              <c:numCache>
                <c:formatCode>0.0%</c:formatCode>
                <c:ptCount val="18"/>
                <c:pt idx="0">
                  <c:v>0</c:v>
                </c:pt>
                <c:pt idx="1">
                  <c:v>-3.7128712871286338E-3</c:v>
                </c:pt>
                <c:pt idx="2">
                  <c:v>2.2277227722772242E-2</c:v>
                </c:pt>
                <c:pt idx="3">
                  <c:v>6.9306930693069368E-2</c:v>
                </c:pt>
                <c:pt idx="4">
                  <c:v>8.0445544554455489E-2</c:v>
                </c:pt>
                <c:pt idx="5">
                  <c:v>9.7772277227722665E-2</c:v>
                </c:pt>
                <c:pt idx="6">
                  <c:v>0.10148514851485152</c:v>
                </c:pt>
                <c:pt idx="7">
                  <c:v>0.11633663366336627</c:v>
                </c:pt>
                <c:pt idx="8">
                  <c:v>0.11386138613861385</c:v>
                </c:pt>
                <c:pt idx="9">
                  <c:v>0.11386138613861385</c:v>
                </c:pt>
                <c:pt idx="10">
                  <c:v>0.12995049504950504</c:v>
                </c:pt>
                <c:pt idx="11">
                  <c:v>0.17079207920792089</c:v>
                </c:pt>
                <c:pt idx="12">
                  <c:v>0.219059405940594</c:v>
                </c:pt>
                <c:pt idx="13">
                  <c:v>0.28712871287128716</c:v>
                </c:pt>
                <c:pt idx="14">
                  <c:v>0.3477722772277228</c:v>
                </c:pt>
                <c:pt idx="15">
                  <c:v>0.39851485148514859</c:v>
                </c:pt>
                <c:pt idx="16">
                  <c:v>0.39851485148514859</c:v>
                </c:pt>
                <c:pt idx="17">
                  <c:v>0.54084158415841577</c:v>
                </c:pt>
              </c:numCache>
            </c:numRef>
          </c:val>
          <c:smooth val="0"/>
          <c:extLst>
            <c:ext xmlns:c16="http://schemas.microsoft.com/office/drawing/2014/chart" uri="{C3380CC4-5D6E-409C-BE32-E72D297353CC}">
              <c16:uniqueId val="{00000000-5D28-479C-9BDF-2D1A85656579}"/>
            </c:ext>
          </c:extLst>
        </c:ser>
        <c:ser>
          <c:idx val="1"/>
          <c:order val="1"/>
          <c:tx>
            <c:strRef>
              <c:f>'4D'!$A$23</c:f>
              <c:strCache>
                <c:ptCount val="1"/>
                <c:pt idx="0">
                  <c:v>United States</c:v>
                </c:pt>
              </c:strCache>
            </c:strRef>
          </c:tx>
          <c:spPr>
            <a:ln w="28575" cap="rnd">
              <a:solidFill>
                <a:srgbClr val="003E51"/>
              </a:solidFill>
              <a:round/>
            </a:ln>
            <a:effectLst/>
          </c:spPr>
          <c:marker>
            <c:symbol val="none"/>
          </c:marker>
          <c:cat>
            <c:numRef>
              <c:f>'4D'!$B$21:$S$21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'4D'!$B$23:$S$23</c:f>
              <c:numCache>
                <c:formatCode>0.0%</c:formatCode>
                <c:ptCount val="18"/>
                <c:pt idx="0">
                  <c:v>0</c:v>
                </c:pt>
                <c:pt idx="1">
                  <c:v>2.4484536082474279E-2</c:v>
                </c:pt>
                <c:pt idx="2">
                  <c:v>6.0567010309278434E-2</c:v>
                </c:pt>
                <c:pt idx="3">
                  <c:v>9.7938144329896878E-2</c:v>
                </c:pt>
                <c:pt idx="4">
                  <c:v>0.12371134020618568</c:v>
                </c:pt>
                <c:pt idx="5">
                  <c:v>0.143041237113402</c:v>
                </c:pt>
                <c:pt idx="6">
                  <c:v>0.15850515463917531</c:v>
                </c:pt>
                <c:pt idx="7">
                  <c:v>0.17010309278350519</c:v>
                </c:pt>
                <c:pt idx="8">
                  <c:v>0.18041237113402067</c:v>
                </c:pt>
                <c:pt idx="9">
                  <c:v>0.19458762886597936</c:v>
                </c:pt>
                <c:pt idx="10">
                  <c:v>0.22938144329896901</c:v>
                </c:pt>
                <c:pt idx="11">
                  <c:v>0.27835051546391754</c:v>
                </c:pt>
                <c:pt idx="12">
                  <c:v>0.34149484536082481</c:v>
                </c:pt>
                <c:pt idx="13">
                  <c:v>0.39819587628865977</c:v>
                </c:pt>
                <c:pt idx="14">
                  <c:v>0.46649484536082486</c:v>
                </c:pt>
                <c:pt idx="15">
                  <c:v>0.51675257731958757</c:v>
                </c:pt>
                <c:pt idx="16">
                  <c:v>0.62757731958762897</c:v>
                </c:pt>
                <c:pt idx="17">
                  <c:v>0.66752577319587625</c:v>
                </c:pt>
              </c:numCache>
            </c:numRef>
          </c:val>
          <c:smooth val="0"/>
          <c:extLst>
            <c:ext xmlns:c16="http://schemas.microsoft.com/office/drawing/2014/chart" uri="{C3380CC4-5D6E-409C-BE32-E72D297353CC}">
              <c16:uniqueId val="{00000001-5D28-479C-9BDF-2D1A85656579}"/>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'4E'!$A$5:$B$5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'4E'!$B$7:$B$16</c:f>
              <c:numCache>
                <c:formatCode>0.0%</c:formatCode>
                <c:ptCount val="10"/>
                <c:pt idx="0">
                  <c:v>0.13082308589893188</c:v>
                </c:pt>
                <c:pt idx="1">
                  <c:v>8.8771205457319813E-2</c:v>
                </c:pt>
                <c:pt idx="2">
                  <c:v>8.8412171259312444E-2</c:v>
                </c:pt>
                <c:pt idx="3">
                  <c:v>8.5898931873260934E-2</c:v>
                </c:pt>
                <c:pt idx="4">
                  <c:v>8.1500762947670766E-2</c:v>
                </c:pt>
                <c:pt idx="5">
                  <c:v>7.9840229781886721E-2</c:v>
                </c:pt>
                <c:pt idx="6">
                  <c:v>6.7588187774885553E-2</c:v>
                </c:pt>
                <c:pt idx="7">
                  <c:v>6.5568620411094153E-2</c:v>
                </c:pt>
                <c:pt idx="8">
                  <c:v>6.3908087245310122E-2</c:v>
                </c:pt>
                <c:pt idx="9">
                  <c:v>5.8971367022708915E-2</c:v>
                </c:pt>
              </c:numCache>
            </c:numRef>
          </c:val>
          <c:extLst>
            <c:ext xmlns:c16="http://schemas.microsoft.com/office/drawing/2014/chart" uri="{C3380CC4-5D6E-409C-BE32-E72D297353CC}">
              <c16:uniqueId val="{00000000-EB11-4ED8-A00E-19B92E3DB563}"/>
            </c:ext>
          </c:extLst>
        </c:ser>
        <c:ser>
          <c:idx val="1"/>
          <c:order val="1"/>
          <c:spPr>
            <a:solidFill>
              <a:schemeClr val="accent2"/>
            </a:solidFill>
            <a:ln>
              <a:noFill/>
            </a:ln>
            <a:effectLst/>
          </c:spPr>
          <c:invertIfNegative val="0"/>
          <c:dLbls>
            <c:delete val="1"/>
          </c:dLbls>
          <c:cat>
            <c:strRef>
              <c:f>'4E'!$A$7:$A$16</c:f>
              <c:strCache>
                <c:ptCount val="10"/>
                <c:pt idx="0">
                  <c:v>Retail Salespersons</c:v>
                </c:pt>
                <c:pt idx="1">
                  <c:v>Social and Human Service Assistants</c:v>
                </c:pt>
                <c:pt idx="2">
                  <c:v>Waiters and Waitresses</c:v>
                </c:pt>
                <c:pt idx="3">
                  <c:v>Teaching Assistants, Except Postsecondary</c:v>
                </c:pt>
                <c:pt idx="4">
                  <c:v>Recreation Workers</c:v>
                </c:pt>
                <c:pt idx="5">
                  <c:v>Secretaries and Admin. Assistants</c:v>
                </c:pt>
                <c:pt idx="6">
                  <c:v>Cashiers</c:v>
                </c:pt>
                <c:pt idx="7">
                  <c:v>Preschool Teachers</c:v>
                </c:pt>
                <c:pt idx="8">
                  <c:v>Customer Service Representatives</c:v>
                </c:pt>
                <c:pt idx="9">
                  <c:v>Fast Food and Counter Workers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EB11-4ED8-A00E-19B92E3DB563}"/>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BB52-4C2D-A2C8-0985F6B09043}"/>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BB52-4C2D-A2C8-0985F6B09043}"/>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BB52-4C2D-A2C8-0985F6B09043}"/>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BB52-4C2D-A2C8-0985F6B09043}"/>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BB52-4C2D-A2C8-0985F6B09043}"/>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BB52-4C2D-A2C8-0985F6B09043}"/>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BB52-4C2D-A2C8-0985F6B09043}"/>
              </c:ext>
            </c:extLst>
          </c:dPt>
          <c:dLbls>
            <c:dLbl>
              <c:idx val="0"/>
              <c:layout>
                <c:manualLayout>
                  <c:x val="2.0210566859517869E-2"/>
                  <c:y val="6.060175865830411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B52-4C2D-A2C8-0985F6B09043}"/>
                </c:ext>
              </c:extLst>
            </c:dLbl>
            <c:dLbl>
              <c:idx val="3"/>
              <c:layout>
                <c:manualLayout>
                  <c:x val="-7.0587787327178991E-2"/>
                  <c:y val="-0.1240288490822678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B52-4C2D-A2C8-0985F6B09043}"/>
                </c:ext>
              </c:extLst>
            </c:dLbl>
            <c:dLbl>
              <c:idx val="6"/>
              <c:layout>
                <c:manualLayout>
                  <c:x val="-5.9878943826625855E-2"/>
                  <c:y val="5.8945508772057457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B52-4C2D-A2C8-0985F6B090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'2B'!$E$6:$E$12</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'2B'!$G$6:$G$12</c:f>
              <c:numCache>
                <c:formatCode>0.0%;[Red]\ \(0.0%\)</c:formatCode>
                <c:ptCount val="7"/>
                <c:pt idx="0">
                  <c:v>1.4999999999999999E-2</c:v>
                </c:pt>
                <c:pt idx="1">
                  <c:v>0.125</c:v>
                </c:pt>
                <c:pt idx="2">
                  <c:v>0.20499999999999999</c:v>
                </c:pt>
                <c:pt idx="3">
                  <c:v>0.13500000000000001</c:v>
                </c:pt>
                <c:pt idx="4">
                  <c:v>0.35299999999999998</c:v>
                </c:pt>
                <c:pt idx="5">
                  <c:v>0.154</c:v>
                </c:pt>
                <c:pt idx="6">
                  <c:v>1.2E-2</c:v>
                </c:pt>
              </c:numCache>
            </c:numRef>
          </c:val>
          <c:extLst>
            <c:ext xmlns:c16="http://schemas.microsoft.com/office/drawing/2014/chart" uri="{C3380CC4-5D6E-409C-BE32-E72D297353CC}">
              <c16:uniqueId val="{0000000E-BB52-4C2D-A2C8-0985F6B09043}"/>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1.7762385840033843E-2"/>
          <c:w val="0.53396494452277976"/>
          <c:h val="0.98223761415996613"/>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'4E'!$C$5:$D$5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'4E'!$C$7:$C$16</c:f>
              <c:strCache>
                <c:ptCount val="10"/>
                <c:pt idx="0">
                  <c:v>Retail Salespersons</c:v>
                </c:pt>
                <c:pt idx="1">
                  <c:v>Social and Human Service Assistants</c:v>
                </c:pt>
                <c:pt idx="2">
                  <c:v>Secretaries and Admin. Assistants</c:v>
                </c:pt>
                <c:pt idx="3">
                  <c:v>Teaching Assistants, Except Postsecondary</c:v>
                </c:pt>
                <c:pt idx="4">
                  <c:v>Waiters and Waitresses</c:v>
                </c:pt>
                <c:pt idx="5">
                  <c:v>Customer Service Representatives</c:v>
                </c:pt>
                <c:pt idx="6">
                  <c:v>Preschool Teachers</c:v>
                </c:pt>
                <c:pt idx="7">
                  <c:v>Registered Nurses</c:v>
                </c:pt>
                <c:pt idx="8">
                  <c:v>Recreation Workers</c:v>
                </c:pt>
                <c:pt idx="9">
                  <c:v>Managers</c:v>
                </c:pt>
              </c:strCache>
            </c:strRef>
          </c:cat>
          <c:val>
            <c:numRef>
              <c:f>'4E'!$D$7:$D$16</c:f>
              <c:numCache>
                <c:formatCode>0.0%</c:formatCode>
                <c:ptCount val="10"/>
                <c:pt idx="0">
                  <c:v>0.14864015797504712</c:v>
                </c:pt>
                <c:pt idx="1">
                  <c:v>0.13481734135176376</c:v>
                </c:pt>
                <c:pt idx="2">
                  <c:v>0.11857104389193071</c:v>
                </c:pt>
                <c:pt idx="3">
                  <c:v>0.11224306615205099</c:v>
                </c:pt>
                <c:pt idx="4">
                  <c:v>9.6759716362983569E-2</c:v>
                </c:pt>
                <c:pt idx="5">
                  <c:v>9.604164796696886E-2</c:v>
                </c:pt>
                <c:pt idx="6">
                  <c:v>7.6384525626065888E-2</c:v>
                </c:pt>
                <c:pt idx="7">
                  <c:v>7.2076115249977563E-2</c:v>
                </c:pt>
                <c:pt idx="8">
                  <c:v>7.0774616282200886E-2</c:v>
                </c:pt>
                <c:pt idx="9">
                  <c:v>6.9158962391167755E-2</c:v>
                </c:pt>
              </c:numCache>
            </c:numRef>
          </c:val>
          <c:extLst>
            <c:ext xmlns:c16="http://schemas.microsoft.com/office/drawing/2014/chart" uri="{C3380CC4-5D6E-409C-BE32-E72D297353CC}">
              <c16:uniqueId val="{00000000-AA7F-4A36-BEE8-24D042A03DDD}"/>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'4F'!$B$4</c:f>
              <c:strCache>
                <c:ptCount val="1"/>
                <c:pt idx="0">
                  <c:v>Job Postings</c:v>
                </c:pt>
              </c:strCache>
            </c:strRef>
          </c:tx>
          <c:spPr>
            <a:solidFill>
              <a:srgbClr val="003E51"/>
            </a:solidFill>
            <a:ln w="25400">
              <a:noFill/>
            </a:ln>
            <a:effectLst/>
          </c:spPr>
          <c:cat>
            <c:numRef>
              <c:f>'4F'!$A$5:$A$64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'4F'!$B$5:$B$64</c:f>
              <c:numCache>
                <c:formatCode>#,##0</c:formatCode>
                <c:ptCount val="60"/>
                <c:pt idx="0">
                  <c:v>2981</c:v>
                </c:pt>
                <c:pt idx="1">
                  <c:v>3031</c:v>
                </c:pt>
                <c:pt idx="2">
                  <c:v>2480</c:v>
                </c:pt>
                <c:pt idx="3">
                  <c:v>1917</c:v>
                </c:pt>
                <c:pt idx="4">
                  <c:v>1678</c:v>
                </c:pt>
                <c:pt idx="5">
                  <c:v>1652</c:v>
                </c:pt>
                <c:pt idx="6">
                  <c:v>1652</c:v>
                </c:pt>
                <c:pt idx="7">
                  <c:v>1998</c:v>
                </c:pt>
                <c:pt idx="8">
                  <c:v>1667</c:v>
                </c:pt>
                <c:pt idx="9">
                  <c:v>1443</c:v>
                </c:pt>
                <c:pt idx="10">
                  <c:v>1092</c:v>
                </c:pt>
                <c:pt idx="11">
                  <c:v>912</c:v>
                </c:pt>
                <c:pt idx="12">
                  <c:v>1082</c:v>
                </c:pt>
                <c:pt idx="13">
                  <c:v>1161</c:v>
                </c:pt>
                <c:pt idx="14">
                  <c:v>1185</c:v>
                </c:pt>
                <c:pt idx="15">
                  <c:v>1050</c:v>
                </c:pt>
                <c:pt idx="16">
                  <c:v>1109</c:v>
                </c:pt>
                <c:pt idx="17">
                  <c:v>1117</c:v>
                </c:pt>
                <c:pt idx="18">
                  <c:v>1061</c:v>
                </c:pt>
                <c:pt idx="19">
                  <c:v>1084</c:v>
                </c:pt>
                <c:pt idx="20">
                  <c:v>927</c:v>
                </c:pt>
                <c:pt idx="21">
                  <c:v>802</c:v>
                </c:pt>
                <c:pt idx="22">
                  <c:v>856</c:v>
                </c:pt>
                <c:pt idx="23">
                  <c:v>705</c:v>
                </c:pt>
                <c:pt idx="24">
                  <c:v>1039</c:v>
                </c:pt>
                <c:pt idx="25">
                  <c:v>1130</c:v>
                </c:pt>
                <c:pt idx="26">
                  <c:v>1234</c:v>
                </c:pt>
                <c:pt idx="27">
                  <c:v>988</c:v>
                </c:pt>
                <c:pt idx="28">
                  <c:v>815</c:v>
                </c:pt>
                <c:pt idx="29">
                  <c:v>777</c:v>
                </c:pt>
                <c:pt idx="30">
                  <c:v>782</c:v>
                </c:pt>
                <c:pt idx="31">
                  <c:v>1031</c:v>
                </c:pt>
                <c:pt idx="32">
                  <c:v>1181</c:v>
                </c:pt>
                <c:pt idx="33">
                  <c:v>1339</c:v>
                </c:pt>
                <c:pt idx="34">
                  <c:v>1239</c:v>
                </c:pt>
                <c:pt idx="35">
                  <c:v>1090</c:v>
                </c:pt>
                <c:pt idx="36">
                  <c:v>922</c:v>
                </c:pt>
                <c:pt idx="37">
                  <c:v>873</c:v>
                </c:pt>
                <c:pt idx="38">
                  <c:v>835</c:v>
                </c:pt>
                <c:pt idx="39">
                  <c:v>770</c:v>
                </c:pt>
                <c:pt idx="40">
                  <c:v>603</c:v>
                </c:pt>
                <c:pt idx="41">
                  <c:v>577</c:v>
                </c:pt>
                <c:pt idx="42">
                  <c:v>758</c:v>
                </c:pt>
                <c:pt idx="43">
                  <c:v>850</c:v>
                </c:pt>
                <c:pt idx="44">
                  <c:v>944</c:v>
                </c:pt>
                <c:pt idx="45">
                  <c:v>1076</c:v>
                </c:pt>
                <c:pt idx="46">
                  <c:v>938</c:v>
                </c:pt>
                <c:pt idx="47">
                  <c:v>796</c:v>
                </c:pt>
                <c:pt idx="48">
                  <c:v>794</c:v>
                </c:pt>
                <c:pt idx="49">
                  <c:v>774</c:v>
                </c:pt>
                <c:pt idx="50">
                  <c:v>718</c:v>
                </c:pt>
                <c:pt idx="51">
                  <c:v>830</c:v>
                </c:pt>
                <c:pt idx="52">
                  <c:v>633</c:v>
                </c:pt>
                <c:pt idx="53">
                  <c:v>688</c:v>
                </c:pt>
                <c:pt idx="54">
                  <c:v>576</c:v>
                </c:pt>
                <c:pt idx="55">
                  <c:v>927</c:v>
                </c:pt>
                <c:pt idx="56">
                  <c:v>1017</c:v>
                </c:pt>
                <c:pt idx="57">
                  <c:v>747</c:v>
                </c:pt>
                <c:pt idx="58">
                  <c:v>547</c:v>
                </c:pt>
                <c:pt idx="59">
                  <c:v>545</c:v>
                </c:pt>
              </c:numCache>
            </c:numRef>
          </c:val>
          <c:extLst>
            <c:ext xmlns:c16="http://schemas.microsoft.com/office/drawing/2014/chart" uri="{C3380CC4-5D6E-409C-BE32-E72D297353CC}">
              <c16:uniqueId val="{00000000-AB32-43E0-8C72-7580782C2322}"/>
            </c:ext>
          </c:extLst>
        </c:ser>
        <c:dLbls>
          <c:showLegendKey val="0"/>
          <c:showVal val="0"/>
          <c:showCatName val="0"/>
          <c:showSerName val="0"/>
          <c:showPercent val="0"/>
          <c:showBubbleSize val="0"/>
        </c:dLbls>
        <c:axId val="309875983"/>
        <c:axId val="309892623"/>
      </c:areaChart>
      <c:lineChart>
        <c:grouping val="standard"/>
        <c:varyColors val="0"/>
        <c:ser>
          <c:idx val="1"/>
          <c:order val="1"/>
          <c:tx>
            <c:strRef>
              <c:f>'4F'!$C$4</c:f>
              <c:strCache>
                <c:ptCount val="1"/>
                <c:pt idx="0">
                  <c:v>Median Advertised Wage</c:v>
                </c:pt>
              </c:strCache>
            </c:strRef>
          </c:tx>
          <c:spPr>
            <a:ln w="28575" cap="rnd">
              <a:solidFill>
                <a:srgbClr val="D45D00"/>
              </a:solidFill>
              <a:round/>
            </a:ln>
            <a:effectLst/>
          </c:spPr>
          <c:marker>
            <c:symbol val="none"/>
          </c:marker>
          <c:cat>
            <c:numRef>
              <c:f>'[2]Early Head Start Teacher'!$A$183:$A$242</c:f>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f>'4F'!$C$5:$C$64</c:f>
              <c:numCache>
                <c:formatCode>"$"#,##0.00_);\("$"#,##0.00\)</c:formatCode>
                <c:ptCount val="60"/>
                <c:pt idx="0">
                  <c:v>12.49</c:v>
                </c:pt>
                <c:pt idx="1">
                  <c:v>13.48</c:v>
                </c:pt>
                <c:pt idx="2">
                  <c:v>13.97</c:v>
                </c:pt>
                <c:pt idx="3">
                  <c:v>13.72</c:v>
                </c:pt>
                <c:pt idx="4">
                  <c:v>13.48</c:v>
                </c:pt>
                <c:pt idx="5">
                  <c:v>12.62</c:v>
                </c:pt>
                <c:pt idx="6">
                  <c:v>12.49</c:v>
                </c:pt>
                <c:pt idx="7">
                  <c:v>12.49</c:v>
                </c:pt>
                <c:pt idx="8">
                  <c:v>12.49</c:v>
                </c:pt>
                <c:pt idx="9">
                  <c:v>12.49</c:v>
                </c:pt>
                <c:pt idx="10">
                  <c:v>12.49</c:v>
                </c:pt>
                <c:pt idx="11">
                  <c:v>12.49</c:v>
                </c:pt>
                <c:pt idx="12">
                  <c:v>12.49</c:v>
                </c:pt>
                <c:pt idx="13">
                  <c:v>12.49</c:v>
                </c:pt>
                <c:pt idx="14">
                  <c:v>12.49</c:v>
                </c:pt>
                <c:pt idx="15">
                  <c:v>12.49</c:v>
                </c:pt>
                <c:pt idx="16">
                  <c:v>12.49</c:v>
                </c:pt>
                <c:pt idx="17">
                  <c:v>12.49</c:v>
                </c:pt>
                <c:pt idx="18">
                  <c:v>12.49</c:v>
                </c:pt>
                <c:pt idx="19">
                  <c:v>12</c:v>
                </c:pt>
                <c:pt idx="20">
                  <c:v>12</c:v>
                </c:pt>
                <c:pt idx="21">
                  <c:v>12</c:v>
                </c:pt>
                <c:pt idx="22">
                  <c:v>12.06</c:v>
                </c:pt>
                <c:pt idx="23">
                  <c:v>12.49</c:v>
                </c:pt>
                <c:pt idx="24">
                  <c:v>12.49</c:v>
                </c:pt>
                <c:pt idx="25">
                  <c:v>12.49</c:v>
                </c:pt>
                <c:pt idx="26">
                  <c:v>12.49</c:v>
                </c:pt>
                <c:pt idx="27">
                  <c:v>12.49</c:v>
                </c:pt>
                <c:pt idx="28">
                  <c:v>12.49</c:v>
                </c:pt>
                <c:pt idx="29">
                  <c:v>12.98</c:v>
                </c:pt>
                <c:pt idx="30">
                  <c:v>12.98</c:v>
                </c:pt>
                <c:pt idx="31">
                  <c:v>12.98</c:v>
                </c:pt>
                <c:pt idx="32">
                  <c:v>13.23</c:v>
                </c:pt>
                <c:pt idx="33">
                  <c:v>13.48</c:v>
                </c:pt>
                <c:pt idx="34">
                  <c:v>13.48</c:v>
                </c:pt>
                <c:pt idx="35">
                  <c:v>12.62</c:v>
                </c:pt>
                <c:pt idx="36">
                  <c:v>12.49</c:v>
                </c:pt>
                <c:pt idx="37">
                  <c:v>12.49</c:v>
                </c:pt>
                <c:pt idx="38">
                  <c:v>12.8</c:v>
                </c:pt>
                <c:pt idx="39">
                  <c:v>12.98</c:v>
                </c:pt>
                <c:pt idx="40">
                  <c:v>13.05</c:v>
                </c:pt>
                <c:pt idx="41">
                  <c:v>13.23</c:v>
                </c:pt>
                <c:pt idx="42">
                  <c:v>13.35</c:v>
                </c:pt>
                <c:pt idx="43">
                  <c:v>13.78</c:v>
                </c:pt>
                <c:pt idx="44">
                  <c:v>13.97</c:v>
                </c:pt>
                <c:pt idx="45">
                  <c:v>14.46</c:v>
                </c:pt>
                <c:pt idx="46">
                  <c:v>15.45</c:v>
                </c:pt>
                <c:pt idx="47">
                  <c:v>14.95</c:v>
                </c:pt>
                <c:pt idx="48">
                  <c:v>13.97</c:v>
                </c:pt>
                <c:pt idx="49">
                  <c:v>13.48</c:v>
                </c:pt>
                <c:pt idx="50">
                  <c:v>13.91</c:v>
                </c:pt>
                <c:pt idx="51">
                  <c:v>13.97</c:v>
                </c:pt>
                <c:pt idx="52">
                  <c:v>13.72</c:v>
                </c:pt>
                <c:pt idx="53">
                  <c:v>13.48</c:v>
                </c:pt>
                <c:pt idx="54">
                  <c:v>13.97</c:v>
                </c:pt>
                <c:pt idx="55">
                  <c:v>13.91</c:v>
                </c:pt>
                <c:pt idx="56">
                  <c:v>13.97</c:v>
                </c:pt>
                <c:pt idx="57">
                  <c:v>13.97</c:v>
                </c:pt>
                <c:pt idx="58">
                  <c:v>14.22</c:v>
                </c:pt>
                <c:pt idx="59">
                  <c:v>14.22</c:v>
                </c:pt>
              </c:numCache>
            </c:numRef>
          </c:val>
          <c:smooth val="0"/>
          <c:extLst>
            <c:ext xmlns:c16="http://schemas.microsoft.com/office/drawing/2014/chart" uri="{C3380CC4-5D6E-409C-BE32-E72D297353CC}">
              <c16:uniqueId val="{00000001-AB32-43E0-8C72-7580782C2322}"/>
            </c:ext>
          </c:extLst>
        </c:ser>
        <c:dLbls>
          <c:showLegendKey val="0"/>
          <c:showVal val="0"/>
          <c:showCatName val="0"/>
          <c:showSerName val="0"/>
          <c:showPercent val="0"/>
          <c:showBubbleSize val="0"/>
        </c:dLbls>
        <c:marker val="1"/>
        <c:smooth val="0"/>
        <c:axId val="753162304"/>
        <c:axId val="753167712"/>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3"/>
        <c:majorTimeUnit val="months"/>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812A-4541-91B1-39E9FB60CA5B}"/>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812A-4541-91B1-39E9FB60CA5B}"/>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812A-4541-91B1-39E9FB60CA5B}"/>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812A-4541-91B1-39E9FB60CA5B}"/>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812A-4541-91B1-39E9FB60CA5B}"/>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812A-4541-91B1-39E9FB60CA5B}"/>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812A-4541-91B1-39E9FB60CA5B}"/>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812A-4541-91B1-39E9FB60CA5B}"/>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812A-4541-91B1-39E9FB60CA5B}"/>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812A-4541-91B1-39E9FB60CA5B}"/>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'4F'!$F$5:$F$14</c:f>
              <c:strCache>
                <c:ptCount val="10"/>
                <c:pt idx="0">
                  <c:v>Care Group</c:v>
                </c:pt>
                <c:pt idx="1">
                  <c:v>Sittercity</c:v>
                </c:pt>
                <c:pt idx="2">
                  <c:v>YMCA</c:v>
                </c:pt>
                <c:pt idx="3">
                  <c:v>Petsitter</c:v>
                </c:pt>
                <c:pt idx="4">
                  <c:v>Safe-At-Home</c:v>
                </c:pt>
                <c:pt idx="5">
                  <c:v>Rover</c:v>
                </c:pt>
                <c:pt idx="6">
                  <c:v>KinderCare</c:v>
                </c:pt>
                <c:pt idx="7">
                  <c:v>Chippewa Valley Schools</c:v>
                </c:pt>
                <c:pt idx="8">
                  <c:v>Sitter</c:v>
                </c:pt>
                <c:pt idx="9">
                  <c:v>National Heritage Academies</c:v>
                </c:pt>
              </c:strCache>
            </c:strRef>
          </c:cat>
          <c:val>
            <c:numRef>
              <c:f>'4F'!$G$5:$G$14</c:f>
              <c:numCache>
                <c:formatCode>#,##0</c:formatCode>
                <c:ptCount val="10"/>
                <c:pt idx="0">
                  <c:v>871</c:v>
                </c:pt>
                <c:pt idx="1">
                  <c:v>386</c:v>
                </c:pt>
                <c:pt idx="2">
                  <c:v>178</c:v>
                </c:pt>
                <c:pt idx="3">
                  <c:v>177</c:v>
                </c:pt>
                <c:pt idx="4">
                  <c:v>115</c:v>
                </c:pt>
                <c:pt idx="5">
                  <c:v>111</c:v>
                </c:pt>
                <c:pt idx="6">
                  <c:v>106</c:v>
                </c:pt>
                <c:pt idx="7">
                  <c:v>100</c:v>
                </c:pt>
                <c:pt idx="8">
                  <c:v>85</c:v>
                </c:pt>
                <c:pt idx="9">
                  <c:v>85</c:v>
                </c:pt>
              </c:numCache>
            </c:numRef>
          </c:val>
          <c:extLst>
            <c:ext xmlns:c16="http://schemas.microsoft.com/office/drawing/2014/chart" uri="{C3380CC4-5D6E-409C-BE32-E72D297353CC}">
              <c16:uniqueId val="{0000000A-812A-4541-91B1-39E9FB60CA5B}"/>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Infant-Toddler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02077905696169"/>
          <c:w val="0.87985636974531278"/>
          <c:h val="0.76790875262588476"/>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'5A'!$V$5:$V$25</c:f>
              <c:numCache>
                <c:formatCode>"$"#,##0.00</c:formatCode>
                <c:ptCount val="21"/>
                <c:pt idx="0">
                  <c:v>20.40778663899275</c:v>
                </c:pt>
                <c:pt idx="1">
                  <c:v>20.917981304967569</c:v>
                </c:pt>
                <c:pt idx="2">
                  <c:v>21.440930837591758</c:v>
                </c:pt>
                <c:pt idx="3">
                  <c:v>21.976954108531551</c:v>
                </c:pt>
                <c:pt idx="4">
                  <c:v>22.526377961244837</c:v>
                </c:pt>
                <c:pt idx="5">
                  <c:v>23.089537410275955</c:v>
                </c:pt>
                <c:pt idx="6">
                  <c:v>23.666775845532854</c:v>
                </c:pt>
                <c:pt idx="7">
                  <c:v>24.258445241671172</c:v>
                </c:pt>
                <c:pt idx="8">
                  <c:v>24.864906372712948</c:v>
                </c:pt>
                <c:pt idx="9">
                  <c:v>25.48652903203077</c:v>
                </c:pt>
                <c:pt idx="10">
                  <c:v>26.123692257831536</c:v>
                </c:pt>
                <c:pt idx="11">
                  <c:v>26.776784564277321</c:v>
                </c:pt>
                <c:pt idx="12">
                  <c:v>27.446204178384253</c:v>
                </c:pt>
                <c:pt idx="13">
                  <c:v>28.132359282843858</c:v>
                </c:pt>
                <c:pt idx="14">
                  <c:v>28.83566826491495</c:v>
                </c:pt>
                <c:pt idx="15">
                  <c:v>29.556559971537823</c:v>
                </c:pt>
                <c:pt idx="16">
                  <c:v>30.295473970826265</c:v>
                </c:pt>
                <c:pt idx="17">
                  <c:v>31.052860820096917</c:v>
                </c:pt>
                <c:pt idx="18">
                  <c:v>31.829182340599338</c:v>
                </c:pt>
                <c:pt idx="19">
                  <c:v>32.624911899114316</c:v>
                </c:pt>
                <c:pt idx="20">
                  <c:v>33.440534696592174</c:v>
                </c:pt>
              </c:numCache>
            </c:numRef>
          </c:val>
          <c:smooth val="0"/>
          <c:extLst>
            <c:ext xmlns:c16="http://schemas.microsoft.com/office/drawing/2014/chart" uri="{C3380CC4-5D6E-409C-BE32-E72D297353CC}">
              <c16:uniqueId val="{00000000-D99E-40C5-97C8-DAFC025C08C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'5A'!$W$5:$W$25</c:f>
              <c:numCache>
                <c:formatCode>"$"#,##0.00</c:formatCode>
                <c:ptCount val="21"/>
                <c:pt idx="0">
                  <c:v>23.945133928571433</c:v>
                </c:pt>
                <c:pt idx="1">
                  <c:v>24.543762276785717</c:v>
                </c:pt>
                <c:pt idx="2">
                  <c:v>25.157356333705359</c:v>
                </c:pt>
                <c:pt idx="3">
                  <c:v>25.78629024204799</c:v>
                </c:pt>
                <c:pt idx="4">
                  <c:v>26.430947498099187</c:v>
                </c:pt>
                <c:pt idx="5">
                  <c:v>27.091721185551663</c:v>
                </c:pt>
                <c:pt idx="6">
                  <c:v>27.769014215190452</c:v>
                </c:pt>
                <c:pt idx="7">
                  <c:v>28.463239570570213</c:v>
                </c:pt>
                <c:pt idx="8">
                  <c:v>29.174820559834465</c:v>
                </c:pt>
                <c:pt idx="9">
                  <c:v>29.904191073830326</c:v>
                </c:pt>
                <c:pt idx="10">
                  <c:v>30.651795850676081</c:v>
                </c:pt>
                <c:pt idx="11">
                  <c:v>31.41809074694298</c:v>
                </c:pt>
                <c:pt idx="12">
                  <c:v>32.203543015616553</c:v>
                </c:pt>
                <c:pt idx="13">
                  <c:v>33.008631591006967</c:v>
                </c:pt>
                <c:pt idx="14">
                  <c:v>33.833847380782139</c:v>
                </c:pt>
                <c:pt idx="15">
                  <c:v>34.67969356530169</c:v>
                </c:pt>
                <c:pt idx="16">
                  <c:v>35.546685904434227</c:v>
                </c:pt>
                <c:pt idx="17">
                  <c:v>36.43535305204508</c:v>
                </c:pt>
                <c:pt idx="18">
                  <c:v>37.346236878346204</c:v>
                </c:pt>
                <c:pt idx="19">
                  <c:v>38.279892800304857</c:v>
                </c:pt>
                <c:pt idx="20">
                  <c:v>39.236890120312474</c:v>
                </c:pt>
              </c:numCache>
            </c:numRef>
          </c:val>
          <c:smooth val="0"/>
          <c:extLst>
            <c:ext xmlns:c16="http://schemas.microsoft.com/office/drawing/2014/chart" uri="{C3380CC4-5D6E-409C-BE32-E72D297353CC}">
              <c16:uniqueId val="{00000001-D99E-40C5-97C8-DAFC025C08C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'5A'!$X$5:$X$25</c:f>
              <c:numCache>
                <c:formatCode>"$"#,##0.00</c:formatCode>
                <c:ptCount val="21"/>
                <c:pt idx="0">
                  <c:v>26.339647321428579</c:v>
                </c:pt>
                <c:pt idx="1">
                  <c:v>26.99813850446429</c:v>
                </c:pt>
                <c:pt idx="2">
                  <c:v>27.673091967075894</c:v>
                </c:pt>
                <c:pt idx="3">
                  <c:v>28.364919266252791</c:v>
                </c:pt>
                <c:pt idx="4">
                  <c:v>29.074042247909109</c:v>
                </c:pt>
                <c:pt idx="5">
                  <c:v>29.800893304106832</c:v>
                </c:pt>
                <c:pt idx="6">
                  <c:v>30.545915636709502</c:v>
                </c:pt>
                <c:pt idx="7">
                  <c:v>31.309563527627237</c:v>
                </c:pt>
                <c:pt idx="8">
                  <c:v>32.092302615817914</c:v>
                </c:pt>
                <c:pt idx="9">
                  <c:v>32.894610181213359</c:v>
                </c:pt>
                <c:pt idx="10">
                  <c:v>33.716975435743691</c:v>
                </c:pt>
                <c:pt idx="11">
                  <c:v>34.559899821637281</c:v>
                </c:pt>
                <c:pt idx="12">
                  <c:v>35.423897317178209</c:v>
                </c:pt>
                <c:pt idx="13">
                  <c:v>36.30949475010766</c:v>
                </c:pt>
                <c:pt idx="14">
                  <c:v>37.217232118860352</c:v>
                </c:pt>
                <c:pt idx="15">
                  <c:v>38.147662921831859</c:v>
                </c:pt>
                <c:pt idx="16">
                  <c:v>39.101354494877654</c:v>
                </c:pt>
                <c:pt idx="17">
                  <c:v>40.078888357249589</c:v>
                </c:pt>
                <c:pt idx="18">
                  <c:v>41.080860566180824</c:v>
                </c:pt>
                <c:pt idx="19">
                  <c:v>42.107882080335344</c:v>
                </c:pt>
                <c:pt idx="20">
                  <c:v>43.16057913234372</c:v>
                </c:pt>
              </c:numCache>
            </c:numRef>
          </c:val>
          <c:smooth val="0"/>
          <c:extLst>
            <c:ext xmlns:c16="http://schemas.microsoft.com/office/drawing/2014/chart" uri="{C3380CC4-5D6E-409C-BE32-E72D297353CC}">
              <c16:uniqueId val="{00000002-D99E-40C5-97C8-DAFC025C08C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'5A'!$U$5:$U$25</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'5A'!$Y$5:$Y$25</c:f>
              <c:numCache>
                <c:formatCode>"$"#,##0.00</c:formatCode>
                <c:ptCount val="21"/>
                <c:pt idx="0">
                  <c:v>28.97361205357144</c:v>
                </c:pt>
                <c:pt idx="1">
                  <c:v>29.697952354910722</c:v>
                </c:pt>
                <c:pt idx="2">
                  <c:v>30.440401163783488</c:v>
                </c:pt>
                <c:pt idx="3">
                  <c:v>31.201411192878073</c:v>
                </c:pt>
                <c:pt idx="4">
                  <c:v>31.981446472700021</c:v>
                </c:pt>
                <c:pt idx="5">
                  <c:v>32.780982634517521</c:v>
                </c:pt>
                <c:pt idx="6">
                  <c:v>33.600507200380456</c:v>
                </c:pt>
                <c:pt idx="7">
                  <c:v>34.440519880389964</c:v>
                </c:pt>
                <c:pt idx="8">
                  <c:v>35.301532877399708</c:v>
                </c:pt>
                <c:pt idx="9">
                  <c:v>36.184071199334696</c:v>
                </c:pt>
                <c:pt idx="10">
                  <c:v>37.088672979318062</c:v>
                </c:pt>
                <c:pt idx="11">
                  <c:v>38.015889803801009</c:v>
                </c:pt>
                <c:pt idx="12">
                  <c:v>38.966287048896028</c:v>
                </c:pt>
                <c:pt idx="13">
                  <c:v>39.940444225118426</c:v>
                </c:pt>
                <c:pt idx="14">
                  <c:v>40.938955330746381</c:v>
                </c:pt>
                <c:pt idx="15">
                  <c:v>41.962429214015039</c:v>
                </c:pt>
                <c:pt idx="16">
                  <c:v>43.011489944365408</c:v>
                </c:pt>
                <c:pt idx="17">
                  <c:v>44.086777192974537</c:v>
                </c:pt>
                <c:pt idx="18">
                  <c:v>45.188946622798895</c:v>
                </c:pt>
                <c:pt idx="19">
                  <c:v>46.318670288368864</c:v>
                </c:pt>
                <c:pt idx="20">
                  <c:v>47.47663704557808</c:v>
                </c:pt>
              </c:numCache>
            </c:numRef>
          </c:val>
          <c:smooth val="0"/>
          <c:extLst>
            <c:ext xmlns:c16="http://schemas.microsoft.com/office/drawing/2014/chart" uri="{C3380CC4-5D6E-409C-BE32-E72D297353CC}">
              <c16:uniqueId val="{00000003-D99E-40C5-97C8-DAFC025C08C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layout>
            <c:manualLayout>
              <c:xMode val="edge"/>
              <c:yMode val="edge"/>
              <c:x val="0.43006819587290995"/>
              <c:y val="0.9473586873729508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20"/>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5442298540044056"/>
          <c:y val="8.0356295573959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r>
              <a:rPr lang="en-US" b="1">
                <a:solidFill>
                  <a:srgbClr val="D45D00"/>
                </a:solidFill>
              </a:rPr>
              <a:t>Substitute, Preschool --- Proposed</a:t>
            </a:r>
            <a:r>
              <a:rPr lang="en-US" b="1" baseline="0">
                <a:solidFill>
                  <a:srgbClr val="D45D00"/>
                </a:solidFill>
              </a:rPr>
              <a:t> </a:t>
            </a:r>
            <a:r>
              <a:rPr lang="en-US" b="1">
                <a:solidFill>
                  <a:srgbClr val="D45D00"/>
                </a:solidFill>
              </a:rPr>
              <a:t>Pay Schedule,</a:t>
            </a:r>
            <a:r>
              <a:rPr lang="en-US" b="1" baseline="0">
                <a:solidFill>
                  <a:srgbClr val="D45D00"/>
                </a:solidFill>
              </a:rPr>
              <a:t> Michigan</a:t>
            </a:r>
            <a:endParaRPr lang="en-US" b="1">
              <a:solidFill>
                <a:srgbClr val="D45D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D45D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3683261090734994E-2"/>
          <c:y val="0.13513693413092309"/>
          <c:w val="0.87985636974531278"/>
          <c:h val="0.76297960906457862"/>
        </c:manualLayout>
      </c:layout>
      <c:lineChart>
        <c:grouping val="standard"/>
        <c:varyColors val="0"/>
        <c:ser>
          <c:idx val="0"/>
          <c:order val="0"/>
          <c:tx>
            <c:strRef>
              <c:f>'5A'!$V$4</c:f>
              <c:strCache>
                <c:ptCount val="1"/>
                <c:pt idx="0">
                  <c:v>HSE</c:v>
                </c:pt>
              </c:strCache>
            </c:strRef>
          </c:tx>
          <c:spPr>
            <a:ln w="28575" cap="rnd">
              <a:solidFill>
                <a:schemeClr val="accent6"/>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'5A'!$V$30:$V$50</c:f>
              <c:numCache>
                <c:formatCode>"$"#,##0.00</c:formatCode>
                <c:ptCount val="21"/>
                <c:pt idx="0">
                  <c:v>18.552533308175224</c:v>
                </c:pt>
                <c:pt idx="1">
                  <c:v>19.016346640879604</c:v>
                </c:pt>
                <c:pt idx="2">
                  <c:v>19.491755306901592</c:v>
                </c:pt>
                <c:pt idx="3">
                  <c:v>19.97904918957413</c:v>
                </c:pt>
                <c:pt idx="4">
                  <c:v>20.478525419313481</c:v>
                </c:pt>
                <c:pt idx="5">
                  <c:v>20.990488554796315</c:v>
                </c:pt>
                <c:pt idx="6">
                  <c:v>21.51525076866622</c:v>
                </c:pt>
                <c:pt idx="7">
                  <c:v>22.053132037882875</c:v>
                </c:pt>
                <c:pt idx="8">
                  <c:v>22.604460338829945</c:v>
                </c:pt>
                <c:pt idx="9">
                  <c:v>23.169571847300691</c:v>
                </c:pt>
                <c:pt idx="10">
                  <c:v>23.748811143483206</c:v>
                </c:pt>
                <c:pt idx="11">
                  <c:v>24.342531422070284</c:v>
                </c:pt>
                <c:pt idx="12">
                  <c:v>24.95109470762204</c:v>
                </c:pt>
                <c:pt idx="13">
                  <c:v>25.574872075312591</c:v>
                </c:pt>
                <c:pt idx="14">
                  <c:v>26.214243877195404</c:v>
                </c:pt>
                <c:pt idx="15">
                  <c:v>26.869599974125286</c:v>
                </c:pt>
                <c:pt idx="16">
                  <c:v>27.541339973478415</c:v>
                </c:pt>
                <c:pt idx="17">
                  <c:v>28.229873472815374</c:v>
                </c:pt>
                <c:pt idx="18">
                  <c:v>28.935620309635755</c:v>
                </c:pt>
                <c:pt idx="19">
                  <c:v>29.659010817376647</c:v>
                </c:pt>
                <c:pt idx="20">
                  <c:v>30.400486087811061</c:v>
                </c:pt>
              </c:numCache>
            </c:numRef>
          </c:val>
          <c:smooth val="0"/>
          <c:extLst>
            <c:ext xmlns:c16="http://schemas.microsoft.com/office/drawing/2014/chart" uri="{C3380CC4-5D6E-409C-BE32-E72D297353CC}">
              <c16:uniqueId val="{00000000-6007-46A1-B211-069D9A1696AE}"/>
            </c:ext>
          </c:extLst>
        </c:ser>
        <c:ser>
          <c:idx val="1"/>
          <c:order val="1"/>
          <c:tx>
            <c:strRef>
              <c:f>'5A'!$W$4</c:f>
              <c:strCache>
                <c:ptCount val="1"/>
                <c:pt idx="0">
                  <c:v>CDA</c:v>
                </c:pt>
              </c:strCache>
            </c:strRef>
          </c:tx>
          <c:spPr>
            <a:ln w="28575" cap="rnd">
              <a:solidFill>
                <a:schemeClr val="accent5"/>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'5A'!$W$30:$W$50</c:f>
              <c:numCache>
                <c:formatCode>"$"#,##0.00</c:formatCode>
                <c:ptCount val="21"/>
                <c:pt idx="0">
                  <c:v>21.768303571428575</c:v>
                </c:pt>
                <c:pt idx="1">
                  <c:v>22.312511160714287</c:v>
                </c:pt>
                <c:pt idx="2">
                  <c:v>22.870323939732142</c:v>
                </c:pt>
                <c:pt idx="3">
                  <c:v>23.442082038225443</c:v>
                </c:pt>
                <c:pt idx="4">
                  <c:v>24.028134089181076</c:v>
                </c:pt>
                <c:pt idx="5">
                  <c:v>24.628837441410599</c:v>
                </c:pt>
                <c:pt idx="6">
                  <c:v>25.244558377445863</c:v>
                </c:pt>
                <c:pt idx="7">
                  <c:v>25.875672336882008</c:v>
                </c:pt>
                <c:pt idx="8">
                  <c:v>26.522564145304056</c:v>
                </c:pt>
                <c:pt idx="9">
                  <c:v>27.185628248936656</c:v>
                </c:pt>
                <c:pt idx="10">
                  <c:v>27.865268955160069</c:v>
                </c:pt>
                <c:pt idx="11">
                  <c:v>28.561900679039066</c:v>
                </c:pt>
                <c:pt idx="12">
                  <c:v>29.27594819601504</c:v>
                </c:pt>
                <c:pt idx="13">
                  <c:v>30.007846900915414</c:v>
                </c:pt>
                <c:pt idx="14">
                  <c:v>30.758043073438298</c:v>
                </c:pt>
                <c:pt idx="15">
                  <c:v>31.526994150274252</c:v>
                </c:pt>
                <c:pt idx="16">
                  <c:v>32.315169004031105</c:v>
                </c:pt>
                <c:pt idx="17">
                  <c:v>33.123048229131882</c:v>
                </c:pt>
                <c:pt idx="18">
                  <c:v>33.951124434860176</c:v>
                </c:pt>
                <c:pt idx="19">
                  <c:v>34.799902545731676</c:v>
                </c:pt>
                <c:pt idx="20">
                  <c:v>35.669900109374964</c:v>
                </c:pt>
              </c:numCache>
            </c:numRef>
          </c:val>
          <c:smooth val="0"/>
          <c:extLst>
            <c:ext xmlns:c16="http://schemas.microsoft.com/office/drawing/2014/chart" uri="{C3380CC4-5D6E-409C-BE32-E72D297353CC}">
              <c16:uniqueId val="{00000001-6007-46A1-B211-069D9A1696AE}"/>
            </c:ext>
          </c:extLst>
        </c:ser>
        <c:ser>
          <c:idx val="2"/>
          <c:order val="2"/>
          <c:tx>
            <c:strRef>
              <c:f>'5A'!$X$4</c:f>
              <c:strCache>
                <c:ptCount val="1"/>
                <c:pt idx="0">
                  <c:v>AA</c:v>
                </c:pt>
              </c:strCache>
            </c:strRef>
          </c:tx>
          <c:spPr>
            <a:ln w="28575" cap="rnd">
              <a:solidFill>
                <a:schemeClr val="accent4"/>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'5A'!$X$30:$X$50</c:f>
              <c:numCache>
                <c:formatCode>"$"#,##0.00</c:formatCode>
                <c:ptCount val="21"/>
                <c:pt idx="0">
                  <c:v>23.945133928571433</c:v>
                </c:pt>
                <c:pt idx="1">
                  <c:v>24.543762276785717</c:v>
                </c:pt>
                <c:pt idx="2">
                  <c:v>25.157356333705359</c:v>
                </c:pt>
                <c:pt idx="3">
                  <c:v>25.78629024204799</c:v>
                </c:pt>
                <c:pt idx="4">
                  <c:v>26.430947498099187</c:v>
                </c:pt>
                <c:pt idx="5">
                  <c:v>27.091721185551663</c:v>
                </c:pt>
                <c:pt idx="6">
                  <c:v>27.769014215190452</c:v>
                </c:pt>
                <c:pt idx="7">
                  <c:v>28.463239570570213</c:v>
                </c:pt>
                <c:pt idx="8">
                  <c:v>29.174820559834465</c:v>
                </c:pt>
                <c:pt idx="9">
                  <c:v>29.904191073830326</c:v>
                </c:pt>
                <c:pt idx="10">
                  <c:v>30.651795850676081</c:v>
                </c:pt>
                <c:pt idx="11">
                  <c:v>31.41809074694298</c:v>
                </c:pt>
                <c:pt idx="12">
                  <c:v>32.203543015616553</c:v>
                </c:pt>
                <c:pt idx="13">
                  <c:v>33.008631591006967</c:v>
                </c:pt>
                <c:pt idx="14">
                  <c:v>33.833847380782139</c:v>
                </c:pt>
                <c:pt idx="15">
                  <c:v>34.67969356530169</c:v>
                </c:pt>
                <c:pt idx="16">
                  <c:v>35.546685904434227</c:v>
                </c:pt>
                <c:pt idx="17">
                  <c:v>36.43535305204508</c:v>
                </c:pt>
                <c:pt idx="18">
                  <c:v>37.346236878346204</c:v>
                </c:pt>
                <c:pt idx="19">
                  <c:v>38.279892800304857</c:v>
                </c:pt>
                <c:pt idx="20">
                  <c:v>39.236890120312474</c:v>
                </c:pt>
              </c:numCache>
            </c:numRef>
          </c:val>
          <c:smooth val="0"/>
          <c:extLst>
            <c:ext xmlns:c16="http://schemas.microsoft.com/office/drawing/2014/chart" uri="{C3380CC4-5D6E-409C-BE32-E72D297353CC}">
              <c16:uniqueId val="{00000002-6007-46A1-B211-069D9A1696AE}"/>
            </c:ext>
          </c:extLst>
        </c:ser>
        <c:ser>
          <c:idx val="3"/>
          <c:order val="3"/>
          <c:tx>
            <c:strRef>
              <c:f>'5A'!$Y$4</c:f>
              <c:strCache>
                <c:ptCount val="1"/>
                <c:pt idx="0">
                  <c:v>BA</c:v>
                </c:pt>
              </c:strCache>
            </c:strRef>
          </c:tx>
          <c:spPr>
            <a:ln w="28575" cap="rnd">
              <a:solidFill>
                <a:schemeClr val="accent6">
                  <a:lumMod val="60000"/>
                </a:schemeClr>
              </a:solidFill>
              <a:round/>
            </a:ln>
            <a:effectLst/>
          </c:spPr>
          <c:marker>
            <c:symbol val="none"/>
          </c:marker>
          <c:cat>
            <c:numRef>
              <c:f>'5A'!$U$30:$U$50</c:f>
              <c:numCache>
                <c:formatCode>General</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'5A'!$Y$30:$Y$50</c:f>
              <c:numCache>
                <c:formatCode>"$"#,##0.00</c:formatCode>
                <c:ptCount val="21"/>
                <c:pt idx="0">
                  <c:v>26.339647321428579</c:v>
                </c:pt>
                <c:pt idx="1">
                  <c:v>26.99813850446429</c:v>
                </c:pt>
                <c:pt idx="2">
                  <c:v>27.673091967075894</c:v>
                </c:pt>
                <c:pt idx="3">
                  <c:v>28.364919266252791</c:v>
                </c:pt>
                <c:pt idx="4">
                  <c:v>29.074042247909109</c:v>
                </c:pt>
                <c:pt idx="5">
                  <c:v>29.800893304106832</c:v>
                </c:pt>
                <c:pt idx="6">
                  <c:v>30.545915636709502</c:v>
                </c:pt>
                <c:pt idx="7">
                  <c:v>31.309563527627237</c:v>
                </c:pt>
                <c:pt idx="8">
                  <c:v>32.092302615817914</c:v>
                </c:pt>
                <c:pt idx="9">
                  <c:v>32.894610181213359</c:v>
                </c:pt>
                <c:pt idx="10">
                  <c:v>33.716975435743691</c:v>
                </c:pt>
                <c:pt idx="11">
                  <c:v>34.559899821637281</c:v>
                </c:pt>
                <c:pt idx="12">
                  <c:v>35.423897317178209</c:v>
                </c:pt>
                <c:pt idx="13">
                  <c:v>36.30949475010766</c:v>
                </c:pt>
                <c:pt idx="14">
                  <c:v>37.217232118860352</c:v>
                </c:pt>
                <c:pt idx="15">
                  <c:v>38.147662921831859</c:v>
                </c:pt>
                <c:pt idx="16">
                  <c:v>39.101354494877654</c:v>
                </c:pt>
                <c:pt idx="17">
                  <c:v>40.078888357249589</c:v>
                </c:pt>
                <c:pt idx="18">
                  <c:v>41.080860566180824</c:v>
                </c:pt>
                <c:pt idx="19">
                  <c:v>42.107882080335344</c:v>
                </c:pt>
                <c:pt idx="20">
                  <c:v>43.16057913234372</c:v>
                </c:pt>
              </c:numCache>
            </c:numRef>
          </c:val>
          <c:smooth val="0"/>
          <c:extLst>
            <c:ext xmlns:c16="http://schemas.microsoft.com/office/drawing/2014/chart" uri="{C3380CC4-5D6E-409C-BE32-E72D297353CC}">
              <c16:uniqueId val="{00000003-6007-46A1-B211-069D9A1696AE}"/>
            </c:ext>
          </c:extLst>
        </c:ser>
        <c:dLbls>
          <c:showLegendKey val="0"/>
          <c:showVal val="0"/>
          <c:showCatName val="0"/>
          <c:showSerName val="0"/>
          <c:showPercent val="0"/>
          <c:showBubbleSize val="0"/>
        </c:dLbls>
        <c:smooth val="0"/>
        <c:axId val="670636831"/>
        <c:axId val="158151791"/>
      </c:lineChart>
      <c:catAx>
        <c:axId val="670636831"/>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000" b="1" i="0" u="none" strike="noStrike" kern="1200" baseline="0">
                    <a:solidFill>
                      <a:sysClr val="windowText" lastClr="000000">
                        <a:lumMod val="65000"/>
                        <a:lumOff val="35000"/>
                      </a:sysClr>
                    </a:solidFill>
                    <a:latin typeface="Arial" panose="020B0604020202020204" pitchFamily="34" charset="0"/>
                    <a:cs typeface="Arial" panose="020B0604020202020204" pitchFamily="34" charset="0"/>
                  </a:rPr>
                  <a:t>Years of Experience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8151791"/>
        <c:crosses val="autoZero"/>
        <c:auto val="1"/>
        <c:lblAlgn val="ctr"/>
        <c:lblOffset val="100"/>
        <c:noMultiLvlLbl val="0"/>
      </c:catAx>
      <c:valAx>
        <c:axId val="158151791"/>
        <c:scaling>
          <c:orientation val="minMax"/>
          <c:min val="15"/>
        </c:scaling>
        <c:delete val="0"/>
        <c:axPos val="l"/>
        <c:majorGridlines>
          <c:spPr>
            <a:ln w="9525" cap="flat" cmpd="sng" algn="ctr">
              <a:solidFill>
                <a:schemeClr val="tx1">
                  <a:lumMod val="15000"/>
                  <a:lumOff val="85000"/>
                </a:schemeClr>
              </a:solidFill>
              <a:round/>
            </a:ln>
            <a:effectLst/>
          </c:spPr>
        </c:majorGridlines>
        <c:numFmt formatCode="&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70636831"/>
        <c:crosses val="autoZero"/>
        <c:crossBetween val="between"/>
      </c:valAx>
      <c:spPr>
        <a:noFill/>
        <a:ln>
          <a:noFill/>
        </a:ln>
        <a:effectLst/>
      </c:spPr>
    </c:plotArea>
    <c:legend>
      <c:legendPos val="b"/>
      <c:layout>
        <c:manualLayout>
          <c:xMode val="edge"/>
          <c:yMode val="edge"/>
          <c:x val="0.2631091960410486"/>
          <c:y val="8.528543913526522E-2"/>
          <c:w val="0.48131262093866933"/>
          <c:h val="3.9527949340904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9550850261364385E-2"/>
          <c:y val="2.9599991807385567E-2"/>
          <c:w val="0.88364242704955998"/>
          <c:h val="0.87614777200712601"/>
        </c:manualLayout>
      </c:layout>
      <c:barChart>
        <c:barDir val="col"/>
        <c:grouping val="clustered"/>
        <c:varyColors val="0"/>
        <c:ser>
          <c:idx val="0"/>
          <c:order val="0"/>
          <c:spPr>
            <a:solidFill>
              <a:srgbClr val="003E5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'5B'!$A$6:$A$12</c:f>
              <c:strCache>
                <c:ptCount val="7"/>
                <c:pt idx="0">
                  <c:v>14-18</c:v>
                </c:pt>
                <c:pt idx="1">
                  <c:v>19-24</c:v>
                </c:pt>
                <c:pt idx="2">
                  <c:v>25-34</c:v>
                </c:pt>
                <c:pt idx="3">
                  <c:v>35-44</c:v>
                </c:pt>
                <c:pt idx="4">
                  <c:v>45-54</c:v>
                </c:pt>
                <c:pt idx="5">
                  <c:v>55-64</c:v>
                </c:pt>
                <c:pt idx="6">
                  <c:v>65+</c:v>
                </c:pt>
              </c:strCache>
            </c:strRef>
          </c:cat>
          <c:val>
            <c:numRef>
              <c:f>'5B'!$C$6:$C$12</c:f>
              <c:numCache>
                <c:formatCode>0.0%;[Red]\ \(0.0%\)</c:formatCode>
                <c:ptCount val="7"/>
                <c:pt idx="0">
                  <c:v>1.0927835051546392E-2</c:v>
                </c:pt>
                <c:pt idx="1">
                  <c:v>0.1065979381443299</c:v>
                </c:pt>
                <c:pt idx="2">
                  <c:v>0.19381443298969073</c:v>
                </c:pt>
                <c:pt idx="3">
                  <c:v>0.22845360824742267</c:v>
                </c:pt>
                <c:pt idx="4">
                  <c:v>0.21628865979381443</c:v>
                </c:pt>
                <c:pt idx="5">
                  <c:v>0.15979381443298968</c:v>
                </c:pt>
                <c:pt idx="6">
                  <c:v>8.4123711340206186E-2</c:v>
                </c:pt>
              </c:numCache>
            </c:numRef>
          </c:val>
          <c:extLst>
            <c:ext xmlns:c16="http://schemas.microsoft.com/office/drawing/2014/chart" uri="{C3380CC4-5D6E-409C-BE32-E72D297353CC}">
              <c16:uniqueId val="{00000000-5C4C-46A0-A89D-40932021A2E7}"/>
            </c:ext>
          </c:extLst>
        </c:ser>
        <c:dLbls>
          <c:dLblPos val="outEnd"/>
          <c:showLegendKey val="0"/>
          <c:showVal val="1"/>
          <c:showCatName val="0"/>
          <c:showSerName val="0"/>
          <c:showPercent val="0"/>
          <c:showBubbleSize val="0"/>
        </c:dLbls>
        <c:gapWidth val="50"/>
        <c:overlap val="-27"/>
        <c:axId val="615456080"/>
        <c:axId val="615453456"/>
      </c:barChart>
      <c:catAx>
        <c:axId val="61545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3456"/>
        <c:crosses val="autoZero"/>
        <c:auto val="1"/>
        <c:lblAlgn val="ctr"/>
        <c:lblOffset val="100"/>
        <c:noMultiLvlLbl val="0"/>
      </c:catAx>
      <c:valAx>
        <c:axId val="615453456"/>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15456080"/>
        <c:crosses val="autoZero"/>
        <c:crossBetween val="between"/>
        <c:majorUnit val="0.1"/>
      </c:valAx>
      <c:spPr>
        <a:noFill/>
        <a:ln>
          <a:noFill/>
        </a:ln>
        <a:effectLst/>
      </c:spPr>
    </c:plotArea>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60605B"/>
              </a:solidFill>
              <a:ln w="19050">
                <a:solidFill>
                  <a:schemeClr val="lt1"/>
                </a:solidFill>
              </a:ln>
              <a:effectLst/>
            </c:spPr>
            <c:extLst>
              <c:ext xmlns:c16="http://schemas.microsoft.com/office/drawing/2014/chart" uri="{C3380CC4-5D6E-409C-BE32-E72D297353CC}">
                <c16:uniqueId val="{00000001-AAD7-478E-A619-47A8FA2D25EA}"/>
              </c:ext>
            </c:extLst>
          </c:dPt>
          <c:dPt>
            <c:idx val="1"/>
            <c:bubble3D val="0"/>
            <c:spPr>
              <a:solidFill>
                <a:srgbClr val="D45D00"/>
              </a:solidFill>
              <a:ln w="19050">
                <a:solidFill>
                  <a:schemeClr val="lt1"/>
                </a:solidFill>
              </a:ln>
              <a:effectLst/>
            </c:spPr>
            <c:extLst>
              <c:ext xmlns:c16="http://schemas.microsoft.com/office/drawing/2014/chart" uri="{C3380CC4-5D6E-409C-BE32-E72D297353CC}">
                <c16:uniqueId val="{00000003-AAD7-478E-A619-47A8FA2D25EA}"/>
              </c:ext>
            </c:extLst>
          </c:dPt>
          <c:dPt>
            <c:idx val="2"/>
            <c:bubble3D val="0"/>
            <c:spPr>
              <a:solidFill>
                <a:srgbClr val="609191"/>
              </a:solidFill>
              <a:ln w="19050">
                <a:solidFill>
                  <a:schemeClr val="lt1"/>
                </a:solidFill>
              </a:ln>
              <a:effectLst/>
            </c:spPr>
            <c:extLst>
              <c:ext xmlns:c16="http://schemas.microsoft.com/office/drawing/2014/chart" uri="{C3380CC4-5D6E-409C-BE32-E72D297353CC}">
                <c16:uniqueId val="{00000005-AAD7-478E-A619-47A8FA2D25EA}"/>
              </c:ext>
            </c:extLst>
          </c:dPt>
          <c:dPt>
            <c:idx val="3"/>
            <c:bubble3D val="0"/>
            <c:spPr>
              <a:solidFill>
                <a:srgbClr val="5E82A3"/>
              </a:solidFill>
              <a:ln w="19050">
                <a:solidFill>
                  <a:schemeClr val="lt1"/>
                </a:solidFill>
              </a:ln>
              <a:effectLst/>
            </c:spPr>
            <c:extLst>
              <c:ext xmlns:c16="http://schemas.microsoft.com/office/drawing/2014/chart" uri="{C3380CC4-5D6E-409C-BE32-E72D297353CC}">
                <c16:uniqueId val="{00000007-AAD7-478E-A619-47A8FA2D25EA}"/>
              </c:ext>
            </c:extLst>
          </c:dPt>
          <c:dPt>
            <c:idx val="4"/>
            <c:bubble3D val="0"/>
            <c:spPr>
              <a:solidFill>
                <a:srgbClr val="003E51"/>
              </a:solidFill>
              <a:ln w="19050">
                <a:solidFill>
                  <a:schemeClr val="lt1"/>
                </a:solidFill>
              </a:ln>
              <a:effectLst/>
            </c:spPr>
            <c:extLst>
              <c:ext xmlns:c16="http://schemas.microsoft.com/office/drawing/2014/chart" uri="{C3380CC4-5D6E-409C-BE32-E72D297353CC}">
                <c16:uniqueId val="{00000009-AAD7-478E-A619-47A8FA2D25EA}"/>
              </c:ext>
            </c:extLst>
          </c:dPt>
          <c:dPt>
            <c:idx val="5"/>
            <c:bubble3D val="0"/>
            <c:spPr>
              <a:solidFill>
                <a:srgbClr val="A2AE74"/>
              </a:solidFill>
              <a:ln w="19050">
                <a:solidFill>
                  <a:schemeClr val="lt1"/>
                </a:solidFill>
              </a:ln>
              <a:effectLst/>
            </c:spPr>
            <c:extLst>
              <c:ext xmlns:c16="http://schemas.microsoft.com/office/drawing/2014/chart" uri="{C3380CC4-5D6E-409C-BE32-E72D297353CC}">
                <c16:uniqueId val="{0000000B-AAD7-478E-A619-47A8FA2D25EA}"/>
              </c:ext>
            </c:extLst>
          </c:dPt>
          <c:dPt>
            <c:idx val="6"/>
            <c:bubble3D val="0"/>
            <c:spPr>
              <a:solidFill>
                <a:srgbClr val="605677"/>
              </a:solidFill>
              <a:ln w="19050">
                <a:solidFill>
                  <a:schemeClr val="lt1"/>
                </a:solidFill>
              </a:ln>
              <a:effectLst/>
            </c:spPr>
            <c:extLst>
              <c:ext xmlns:c16="http://schemas.microsoft.com/office/drawing/2014/chart" uri="{C3380CC4-5D6E-409C-BE32-E72D297353CC}">
                <c16:uniqueId val="{0000000D-AAD7-478E-A619-47A8FA2D25EA}"/>
              </c:ext>
            </c:extLst>
          </c:dPt>
          <c:dLbls>
            <c:dLbl>
              <c:idx val="0"/>
              <c:layout>
                <c:manualLayout>
                  <c:x val="2.3877800500405662E-2"/>
                  <c:y val="6.059948720600419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D7-478E-A619-47A8FA2D25EA}"/>
                </c:ext>
              </c:extLst>
            </c:dLbl>
            <c:dLbl>
              <c:idx val="2"/>
              <c:layout>
                <c:manualLayout>
                  <c:x val="-4.5342115184681649E-3"/>
                  <c:y val="2.293889225903033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D7-478E-A619-47A8FA2D25EA}"/>
                </c:ext>
              </c:extLst>
            </c:dLbl>
            <c:dLbl>
              <c:idx val="3"/>
              <c:layout>
                <c:manualLayout>
                  <c:x val="-4.5342115184681647E-2"/>
                  <c:y val="-0.1145027626051347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D7-478E-A619-47A8FA2D25EA}"/>
                </c:ext>
              </c:extLst>
            </c:dLbl>
            <c:dLbl>
              <c:idx val="4"/>
              <c:layout>
                <c:manualLayout>
                  <c:x val="0.12339196152132428"/>
                  <c:y val="-0.12813544016919931"/>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D7-478E-A619-47A8FA2D25EA}"/>
                </c:ext>
              </c:extLst>
            </c:dLbl>
            <c:dLbl>
              <c:idx val="5"/>
              <c:layout>
                <c:manualLayout>
                  <c:x val="0.13819919683761953"/>
                  <c:y val="0.14971919925439298"/>
                </c:manualLayout>
              </c:layout>
              <c:tx>
                <c:rich>
                  <a:bodyPr/>
                  <a:lstStyle/>
                  <a:p>
                    <a:fld id="{ABE924FB-1D3A-48C8-A768-E4F6E16640F4}" type="VALUE">
                      <a:rPr lang="en-US">
                        <a:solidFill>
                          <a:schemeClr val="bg1"/>
                        </a:solidFill>
                      </a:rPr>
                      <a:pPr/>
                      <a:t>[VALUE]</a:t>
                    </a:fld>
                    <a:endParaRPr lang="en-US"/>
                  </a:p>
                </c:rich>
              </c:tx>
              <c:dLblPos val="bestFit"/>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AAD7-478E-A619-47A8FA2D25EA}"/>
                </c:ext>
              </c:extLst>
            </c:dLbl>
            <c:dLbl>
              <c:idx val="6"/>
              <c:layout>
                <c:manualLayout>
                  <c:x val="2.1998469630343503E-3"/>
                  <c:y val="5.7307296552800979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605677"/>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15:layout>
                    <c:manualLayout>
                      <c:w val="0.14448933564481317"/>
                      <c:h val="9.977780250670705E-2"/>
                    </c:manualLayout>
                  </c15:layout>
                </c:ext>
                <c:ext xmlns:c16="http://schemas.microsoft.com/office/drawing/2014/chart" uri="{C3380CC4-5D6E-409C-BE32-E72D297353CC}">
                  <c16:uniqueId val="{0000000D-AAD7-478E-A619-47A8FA2D25E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'5B'!$E$6:$E$12</c:f>
              <c:strCache>
                <c:ptCount val="7"/>
                <c:pt idx="0">
                  <c:v>Less than high school</c:v>
                </c:pt>
                <c:pt idx="1">
                  <c:v>High school</c:v>
                </c:pt>
                <c:pt idx="2">
                  <c:v>Some college</c:v>
                </c:pt>
                <c:pt idx="3">
                  <c:v>Associate's degree</c:v>
                </c:pt>
                <c:pt idx="4">
                  <c:v>Bachelor's degree</c:v>
                </c:pt>
                <c:pt idx="5">
                  <c:v>Master's degree</c:v>
                </c:pt>
                <c:pt idx="6">
                  <c:v>Doctoral or professional degree</c:v>
                </c:pt>
              </c:strCache>
            </c:strRef>
          </c:cat>
          <c:val>
            <c:numRef>
              <c:f>'5B'!$G$6:$G$12</c:f>
              <c:numCache>
                <c:formatCode>0.0%;[Red]\ \(0.0%\)</c:formatCode>
                <c:ptCount val="7"/>
                <c:pt idx="0">
                  <c:v>0.02</c:v>
                </c:pt>
                <c:pt idx="1">
                  <c:v>0.109</c:v>
                </c:pt>
                <c:pt idx="2">
                  <c:v>0.17699999999999999</c:v>
                </c:pt>
                <c:pt idx="3">
                  <c:v>8.5999999999999993E-2</c:v>
                </c:pt>
                <c:pt idx="4">
                  <c:v>0.36</c:v>
                </c:pt>
                <c:pt idx="5">
                  <c:v>0.20200000000000001</c:v>
                </c:pt>
                <c:pt idx="6">
                  <c:v>4.5999999999999999E-2</c:v>
                </c:pt>
              </c:numCache>
            </c:numRef>
          </c:val>
          <c:extLst>
            <c:ext xmlns:c16="http://schemas.microsoft.com/office/drawing/2014/chart" uri="{C3380CC4-5D6E-409C-BE32-E72D297353CC}">
              <c16:uniqueId val="{0000000E-AAD7-478E-A619-47A8FA2D25EA}"/>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l"/>
      <c:layout>
        <c:manualLayout>
          <c:xMode val="edge"/>
          <c:yMode val="edge"/>
          <c:x val="0"/>
          <c:y val="0"/>
          <c:w val="0.55210185770639508"/>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3464-4060-AC62-5C1BC6175200}"/>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3464-4060-AC62-5C1BC6175200}"/>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3464-4060-AC62-5C1BC6175200}"/>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3464-4060-AC62-5C1BC6175200}"/>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3464-4060-AC62-5C1BC6175200}"/>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3464-4060-AC62-5C1BC61752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3464-4060-AC62-5C1BC6175200}"/>
              </c:ext>
            </c:extLst>
          </c:dPt>
          <c:dLbls>
            <c:dLbl>
              <c:idx val="2"/>
              <c:layout>
                <c:manualLayout>
                  <c:x val="-6.9395862379206382E-3"/>
                  <c:y val="5.816411255831732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464-4060-AC62-5C1BC6175200}"/>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464-4060-AC62-5C1BC6175200}"/>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464-4060-AC62-5C1BC6175200}"/>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464-4060-AC62-5C1BC6175200}"/>
                </c:ext>
              </c:extLst>
            </c:dLbl>
            <c:dLbl>
              <c:idx val="6"/>
              <c:delete val="1"/>
              <c:extLst>
                <c:ext xmlns:c15="http://schemas.microsoft.com/office/drawing/2012/chart" uri="{CE6537A1-D6FC-4f65-9D91-7224C49458BB}"/>
                <c:ext xmlns:c16="http://schemas.microsoft.com/office/drawing/2014/chart" uri="{C3380CC4-5D6E-409C-BE32-E72D297353CC}">
                  <c16:uniqueId val="{0000000D-3464-4060-AC62-5C1BC617520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'5B'!$I$6:$I$12</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'5B'!$K$6:$K$12</c:f>
              <c:numCache>
                <c:formatCode>0.0%;[Red]\ \(0.0%\)</c:formatCode>
                <c:ptCount val="7"/>
                <c:pt idx="0">
                  <c:v>0.78783505154639177</c:v>
                </c:pt>
                <c:pt idx="1">
                  <c:v>0.11422680412371133</c:v>
                </c:pt>
                <c:pt idx="2">
                  <c:v>4.371134020618557E-2</c:v>
                </c:pt>
                <c:pt idx="3">
                  <c:v>2.9896907216494847E-2</c:v>
                </c:pt>
                <c:pt idx="4">
                  <c:v>2.2061855670103093E-2</c:v>
                </c:pt>
                <c:pt idx="5">
                  <c:v>2.268041237113402E-3</c:v>
                </c:pt>
                <c:pt idx="6">
                  <c:v>0</c:v>
                </c:pt>
              </c:numCache>
            </c:numRef>
          </c:val>
          <c:extLst>
            <c:ext xmlns:c16="http://schemas.microsoft.com/office/drawing/2014/chart" uri="{C3380CC4-5D6E-409C-BE32-E72D297353CC}">
              <c16:uniqueId val="{0000000E-3464-4060-AC62-5C1BC6175200}"/>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Lbls>
            <c:dLbl>
              <c:idx val="0"/>
              <c:layout>
                <c:manualLayout>
                  <c:x val="-2.6441981653995857E-2"/>
                  <c:y val="-3.00119227527147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2107648927436913"/>
                      <c:h val="0.18340497110441142"/>
                    </c:manualLayout>
                  </c15:layout>
                </c:ext>
                <c:ext xmlns:c16="http://schemas.microsoft.com/office/drawing/2014/chart" uri="{C3380CC4-5D6E-409C-BE32-E72D297353CC}">
                  <c16:uniqueId val="{00000000-EF47-4730-93D5-CED0EA932006}"/>
                </c:ext>
              </c:extLst>
            </c:dLbl>
            <c:dLbl>
              <c:idx val="1"/>
              <c:layout>
                <c:manualLayout>
                  <c:x val="-0.1552790865070017"/>
                  <c:y val="1.8985275020693949E-7"/>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8693493029977923"/>
                      <c:h val="0.17709274686553106"/>
                    </c:manualLayout>
                  </c15:layout>
                </c:ext>
                <c:ext xmlns:c16="http://schemas.microsoft.com/office/drawing/2014/chart" uri="{C3380CC4-5D6E-409C-BE32-E72D297353CC}">
                  <c16:uniqueId val="{00000001-EF47-4730-93D5-CED0EA932006}"/>
                </c:ext>
              </c:extLst>
            </c:dLbl>
            <c:dLbl>
              <c:idx val="2"/>
              <c:layout>
                <c:manualLayout>
                  <c:x val="2.2664803909292004E-2"/>
                  <c:y val="-2.8082639105110253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EF47-4730-93D5-CED0EA932006}"/>
                </c:ext>
              </c:extLst>
            </c:dLbl>
            <c:dLbl>
              <c:idx val="3"/>
              <c:layout>
                <c:manualLayout>
                  <c:x val="-6.799428323279913E-2"/>
                  <c:y val="-4.8222598552562631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690562872541667"/>
                      <c:h val="0.21401189237627297"/>
                    </c:manualLayout>
                  </c15:layout>
                </c:ext>
                <c:ext xmlns:c16="http://schemas.microsoft.com/office/drawing/2014/chart" uri="{C3380CC4-5D6E-409C-BE32-E72D297353CC}">
                  <c16:uniqueId val="{00000003-EF47-4730-93D5-CED0EA932006}"/>
                </c:ext>
              </c:extLst>
            </c:dLbl>
            <c:dLbl>
              <c:idx val="4"/>
              <c:layout>
                <c:manualLayout>
                  <c:x val="-7.5549220116357937E-2"/>
                  <c:y val="7.8747123730834364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9662585810995701"/>
                      <c:h val="0.1924271534997456"/>
                    </c:manualLayout>
                  </c15:layout>
                </c:ext>
                <c:ext xmlns:c16="http://schemas.microsoft.com/office/drawing/2014/chart" uri="{C3380CC4-5D6E-409C-BE32-E72D297353CC}">
                  <c16:uniqueId val="{00000004-EF47-4730-93D5-CED0EA93200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'5C'!$B$8:$B$12</c:f>
              <c:numCache>
                <c:formatCode>0%</c:formatCode>
                <c:ptCount val="5"/>
                <c:pt idx="0">
                  <c:v>0.96</c:v>
                </c:pt>
                <c:pt idx="1">
                  <c:v>0.96</c:v>
                </c:pt>
                <c:pt idx="2">
                  <c:v>0.95</c:v>
                </c:pt>
                <c:pt idx="3">
                  <c:v>0.92</c:v>
                </c:pt>
                <c:pt idx="4">
                  <c:v>0.92</c:v>
                </c:pt>
              </c:numCache>
            </c:numRef>
          </c:val>
          <c:extLst>
            <c:ext xmlns:c16="http://schemas.microsoft.com/office/drawing/2014/chart" uri="{C3380CC4-5D6E-409C-BE32-E72D297353CC}">
              <c16:uniqueId val="{00000005-EF47-4730-93D5-CED0EA932006}"/>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162162495395E-2"/>
          <c:y val="0.1585057807098412"/>
          <c:w val="0.92815048118985122"/>
          <c:h val="0.7208317830194843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'5C'!$A$8:$A$12</c:f>
              <c:strCache>
                <c:ptCount val="5"/>
                <c:pt idx="0">
                  <c:v>Kindergarten Teacher</c:v>
                </c:pt>
                <c:pt idx="1">
                  <c:v>Self-Enrichment Teacher</c:v>
                </c:pt>
                <c:pt idx="2">
                  <c:v>Tutor</c:v>
                </c:pt>
                <c:pt idx="3">
                  <c:v>Administrative Assistant</c:v>
                </c:pt>
                <c:pt idx="4">
                  <c:v>Customer Service Representative</c:v>
                </c:pt>
              </c:strCache>
            </c:strRef>
          </c:cat>
          <c:val>
            <c:numRef>
              <c:f>'5C'!$C$8:$C$12</c:f>
              <c:numCache>
                <c:formatCode>"$"#,##0.00_);\("$"#,##0.00\)</c:formatCode>
                <c:ptCount val="5"/>
                <c:pt idx="0">
                  <c:v>29.86</c:v>
                </c:pt>
                <c:pt idx="1">
                  <c:v>20.97</c:v>
                </c:pt>
                <c:pt idx="2">
                  <c:v>15.09</c:v>
                </c:pt>
                <c:pt idx="3">
                  <c:v>19.28</c:v>
                </c:pt>
                <c:pt idx="4">
                  <c:v>17.98</c:v>
                </c:pt>
              </c:numCache>
            </c:numRef>
          </c:val>
          <c:extLst>
            <c:ext xmlns:c16="http://schemas.microsoft.com/office/drawing/2014/chart" uri="{C3380CC4-5D6E-409C-BE32-E72D297353CC}">
              <c16:uniqueId val="{00000000-26F2-4D52-A120-8A3C1EBCE9D4}"/>
            </c:ext>
          </c:extLst>
        </c:ser>
        <c:dLbls>
          <c:showLegendKey val="0"/>
          <c:showVal val="0"/>
          <c:showCatName val="0"/>
          <c:showSerName val="0"/>
          <c:showPercent val="0"/>
          <c:showBubbleSize val="0"/>
        </c:dLbls>
        <c:gapWidth val="2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max val="30"/>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7929753572470118"/>
          <c:y val="0.10268644022136529"/>
          <c:w val="0.52070246427529887"/>
          <c:h val="0.86783744045883149"/>
        </c:manualLayout>
      </c:layout>
      <c:pieChart>
        <c:varyColors val="1"/>
        <c:ser>
          <c:idx val="0"/>
          <c:order val="0"/>
          <c:dPt>
            <c:idx val="0"/>
            <c:bubble3D val="0"/>
            <c:spPr>
              <a:solidFill>
                <a:srgbClr val="D45D00"/>
              </a:solidFill>
              <a:ln w="19050">
                <a:solidFill>
                  <a:schemeClr val="lt1"/>
                </a:solidFill>
              </a:ln>
              <a:effectLst/>
            </c:spPr>
            <c:extLst>
              <c:ext xmlns:c16="http://schemas.microsoft.com/office/drawing/2014/chart" uri="{C3380CC4-5D6E-409C-BE32-E72D297353CC}">
                <c16:uniqueId val="{00000001-4956-440B-AC96-5DBE775B7D57}"/>
              </c:ext>
            </c:extLst>
          </c:dPt>
          <c:dPt>
            <c:idx val="1"/>
            <c:bubble3D val="0"/>
            <c:spPr>
              <a:solidFill>
                <a:srgbClr val="609191"/>
              </a:solidFill>
              <a:ln w="19050">
                <a:solidFill>
                  <a:schemeClr val="lt1"/>
                </a:solidFill>
              </a:ln>
              <a:effectLst/>
            </c:spPr>
            <c:extLst>
              <c:ext xmlns:c16="http://schemas.microsoft.com/office/drawing/2014/chart" uri="{C3380CC4-5D6E-409C-BE32-E72D297353CC}">
                <c16:uniqueId val="{00000003-4956-440B-AC96-5DBE775B7D57}"/>
              </c:ext>
            </c:extLst>
          </c:dPt>
          <c:dPt>
            <c:idx val="2"/>
            <c:bubble3D val="0"/>
            <c:spPr>
              <a:solidFill>
                <a:srgbClr val="5E82A3"/>
              </a:solidFill>
              <a:ln w="19050">
                <a:solidFill>
                  <a:schemeClr val="lt1"/>
                </a:solidFill>
              </a:ln>
              <a:effectLst/>
            </c:spPr>
            <c:extLst>
              <c:ext xmlns:c16="http://schemas.microsoft.com/office/drawing/2014/chart" uri="{C3380CC4-5D6E-409C-BE32-E72D297353CC}">
                <c16:uniqueId val="{00000005-4956-440B-AC96-5DBE775B7D57}"/>
              </c:ext>
            </c:extLst>
          </c:dPt>
          <c:dPt>
            <c:idx val="3"/>
            <c:bubble3D val="0"/>
            <c:spPr>
              <a:solidFill>
                <a:srgbClr val="003E51"/>
              </a:solidFill>
              <a:ln w="19050">
                <a:solidFill>
                  <a:schemeClr val="lt1"/>
                </a:solidFill>
              </a:ln>
              <a:effectLst/>
            </c:spPr>
            <c:extLst>
              <c:ext xmlns:c16="http://schemas.microsoft.com/office/drawing/2014/chart" uri="{C3380CC4-5D6E-409C-BE32-E72D297353CC}">
                <c16:uniqueId val="{00000007-4956-440B-AC96-5DBE775B7D57}"/>
              </c:ext>
            </c:extLst>
          </c:dPt>
          <c:dPt>
            <c:idx val="4"/>
            <c:bubble3D val="0"/>
            <c:spPr>
              <a:solidFill>
                <a:srgbClr val="A2AE74"/>
              </a:solidFill>
              <a:ln w="19050">
                <a:solidFill>
                  <a:schemeClr val="lt1"/>
                </a:solidFill>
              </a:ln>
              <a:effectLst/>
            </c:spPr>
            <c:extLst>
              <c:ext xmlns:c16="http://schemas.microsoft.com/office/drawing/2014/chart" uri="{C3380CC4-5D6E-409C-BE32-E72D297353CC}">
                <c16:uniqueId val="{00000009-4956-440B-AC96-5DBE775B7D57}"/>
              </c:ext>
            </c:extLst>
          </c:dPt>
          <c:dPt>
            <c:idx val="5"/>
            <c:bubble3D val="0"/>
            <c:spPr>
              <a:solidFill>
                <a:srgbClr val="605677"/>
              </a:solidFill>
              <a:ln w="19050">
                <a:solidFill>
                  <a:schemeClr val="lt1"/>
                </a:solidFill>
              </a:ln>
              <a:effectLst/>
            </c:spPr>
            <c:extLst>
              <c:ext xmlns:c16="http://schemas.microsoft.com/office/drawing/2014/chart" uri="{C3380CC4-5D6E-409C-BE32-E72D297353CC}">
                <c16:uniqueId val="{0000000B-4956-440B-AC96-5DBE775B7D5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956-440B-AC96-5DBE775B7D57}"/>
              </c:ext>
            </c:extLst>
          </c:dPt>
          <c:dLbls>
            <c:dLbl>
              <c:idx val="2"/>
              <c:layout>
                <c:manualLayout>
                  <c:x val="-1.0114872004635784E-2"/>
                  <c:y val="7.2714699715476991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E82A3"/>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956-440B-AC96-5DBE775B7D57}"/>
                </c:ext>
              </c:extLst>
            </c:dLbl>
            <c:dLbl>
              <c:idx val="3"/>
              <c:layout>
                <c:manualLayout>
                  <c:x val="-1.5101748645055811E-2"/>
                  <c:y val="5.3863851184392979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956-440B-AC96-5DBE775B7D57}"/>
                </c:ext>
              </c:extLst>
            </c:dLbl>
            <c:dLbl>
              <c:idx val="4"/>
              <c:layout>
                <c:manualLayout>
                  <c:x val="2.3680335412618717E-2"/>
                  <c:y val="5.8158085395285455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A2AE74"/>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956-440B-AC96-5DBE775B7D57}"/>
                </c:ext>
              </c:extLst>
            </c:dLbl>
            <c:dLbl>
              <c:idx val="5"/>
              <c:layout>
                <c:manualLayout>
                  <c:x val="0.10015304905068685"/>
                  <c:y val="5.61729017028198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956-440B-AC96-5DBE775B7D57}"/>
                </c:ext>
              </c:extLst>
            </c:dLbl>
            <c:dLbl>
              <c:idx val="6"/>
              <c:delete val="1"/>
              <c:extLst>
                <c:ext xmlns:c15="http://schemas.microsoft.com/office/drawing/2012/chart" uri="{CE6537A1-D6FC-4f65-9D91-7224C49458BB}"/>
                <c:ext xmlns:c16="http://schemas.microsoft.com/office/drawing/2014/chart" uri="{C3380CC4-5D6E-409C-BE32-E72D297353CC}">
                  <c16:uniqueId val="{0000000D-4956-440B-AC96-5DBE775B7D57}"/>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'2B'!$I$6:$I$12</c:f>
              <c:strCache>
                <c:ptCount val="7"/>
                <c:pt idx="0">
                  <c:v>White</c:v>
                </c:pt>
                <c:pt idx="1">
                  <c:v>Black/African American</c:v>
                </c:pt>
                <c:pt idx="2">
                  <c:v>Hispanic/Latino (any race)</c:v>
                </c:pt>
                <c:pt idx="3">
                  <c:v>Two or More Races</c:v>
                </c:pt>
                <c:pt idx="4">
                  <c:v>Asian</c:v>
                </c:pt>
                <c:pt idx="5">
                  <c:v>American Indian/Alaska Native</c:v>
                </c:pt>
                <c:pt idx="6">
                  <c:v>Native Hawaiian/Other Pacific Islander</c:v>
                </c:pt>
              </c:strCache>
            </c:strRef>
          </c:cat>
          <c:val>
            <c:numRef>
              <c:f>'2B'!$K$6:$K$12</c:f>
              <c:numCache>
                <c:formatCode>0.0%;[Red]\ \(0.0%\)</c:formatCode>
                <c:ptCount val="7"/>
                <c:pt idx="0">
                  <c:v>0.78602828746177367</c:v>
                </c:pt>
                <c:pt idx="1">
                  <c:v>0.12949159021406728</c:v>
                </c:pt>
                <c:pt idx="2">
                  <c:v>4.2622324159021403E-2</c:v>
                </c:pt>
                <c:pt idx="3">
                  <c:v>1.9590978593272173E-2</c:v>
                </c:pt>
                <c:pt idx="4">
                  <c:v>1.9495412844036698E-2</c:v>
                </c:pt>
                <c:pt idx="5">
                  <c:v>2.675840978593272E-3</c:v>
                </c:pt>
                <c:pt idx="6">
                  <c:v>1.9113149847094801E-4</c:v>
                </c:pt>
              </c:numCache>
            </c:numRef>
          </c:val>
          <c:extLst>
            <c:ext xmlns:c16="http://schemas.microsoft.com/office/drawing/2014/chart" uri="{C3380CC4-5D6E-409C-BE32-E72D297353CC}">
              <c16:uniqueId val="{0000000E-4956-440B-AC96-5DBE775B7D57}"/>
            </c:ext>
          </c:extLst>
        </c:ser>
        <c:dLbls>
          <c:dLblPos val="inEnd"/>
          <c:showLegendKey val="0"/>
          <c:showVal val="1"/>
          <c:showCatName val="0"/>
          <c:showSerName val="0"/>
          <c:showPercent val="0"/>
          <c:showBubbleSize val="0"/>
          <c:showLeaderLines val="1"/>
        </c:dLbls>
        <c:firstSliceAng val="0"/>
      </c:pieChart>
      <c:spPr>
        <a:solidFill>
          <a:sysClr val="window" lastClr="FFFFFF"/>
        </a:solidFill>
        <a:ln>
          <a:noFill/>
        </a:ln>
        <a:effectLst/>
      </c:spPr>
    </c:plotArea>
    <c:legend>
      <c:legendPos val="l"/>
      <c:layout>
        <c:manualLayout>
          <c:xMode val="edge"/>
          <c:yMode val="edge"/>
          <c:x val="0"/>
          <c:y val="0"/>
          <c:w val="0.53460646964583969"/>
          <c:h val="1"/>
        </c:manualLayout>
      </c:layout>
      <c:overlay val="0"/>
      <c:spPr>
        <a:noFill/>
        <a:ln>
          <a:noFill/>
        </a:ln>
        <a:effectLst/>
      </c:spPr>
      <c:txPr>
        <a:bodyPr rot="0" spcFirstLastPara="1" vertOverflow="ellipsis" vert="horz" wrap="square" anchor="ctr" anchorCtr="1"/>
        <a:lstStyle/>
        <a:p>
          <a:pPr rtl="0">
            <a:defRPr sz="90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ysClr val="window" lastClr="FFFFFF"/>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242384604204607"/>
          <c:y val="0.15977952755905511"/>
          <c:w val="0.52757615395795399"/>
          <c:h val="0.80627651377487231"/>
        </c:manualLayout>
      </c:layout>
      <c:barChart>
        <c:barDir val="bar"/>
        <c:grouping val="clustered"/>
        <c:varyColors val="0"/>
        <c:ser>
          <c:idx val="0"/>
          <c:order val="0"/>
          <c:spPr>
            <a:solidFill>
              <a:srgbClr val="003E51"/>
            </a:solidFill>
            <a:ln>
              <a:noFill/>
            </a:ln>
            <a:effectLst/>
          </c:spPr>
          <c:invertIfNegative val="0"/>
          <c:dPt>
            <c:idx val="0"/>
            <c:invertIfNegative val="0"/>
            <c:bubble3D val="0"/>
            <c:spPr>
              <a:solidFill>
                <a:srgbClr val="D45D00"/>
              </a:solidFill>
              <a:ln>
                <a:noFill/>
              </a:ln>
              <a:effectLst/>
            </c:spPr>
            <c:extLst>
              <c:ext xmlns:c16="http://schemas.microsoft.com/office/drawing/2014/chart" uri="{C3380CC4-5D6E-409C-BE32-E72D297353CC}">
                <c16:uniqueId val="{00000002-E07D-4DA9-8104-144E058B8686}"/>
              </c:ext>
            </c:extLst>
          </c:dPt>
          <c:dPt>
            <c:idx val="5"/>
            <c:invertIfNegative val="0"/>
            <c:bubble3D val="0"/>
            <c:spPr>
              <a:solidFill>
                <a:srgbClr val="003E51"/>
              </a:solidFill>
              <a:ln>
                <a:noFill/>
              </a:ln>
              <a:effectLst/>
            </c:spPr>
            <c:extLst>
              <c:ext xmlns:c16="http://schemas.microsoft.com/office/drawing/2014/chart" uri="{C3380CC4-5D6E-409C-BE32-E72D297353CC}">
                <c16:uniqueId val="{00000003-6A1D-4195-9298-70F8F752182E}"/>
              </c:ext>
            </c:extLst>
          </c:dPt>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D45D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E07D-4DA9-8104-144E058B8686}"/>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E07D-4DA9-8104-144E058B8686}"/>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'5C'!$Y$29:$Y$34</c:f>
              <c:strCache>
                <c:ptCount val="6"/>
                <c:pt idx="0">
                  <c:v>Substitute</c:v>
                </c:pt>
                <c:pt idx="1">
                  <c:v>Tutor</c:v>
                </c:pt>
                <c:pt idx="2">
                  <c:v>Customer Service Representative</c:v>
                </c:pt>
                <c:pt idx="3">
                  <c:v>Self-Enrichment Teacher</c:v>
                </c:pt>
                <c:pt idx="4">
                  <c:v>Administrative Assistant</c:v>
                </c:pt>
                <c:pt idx="5">
                  <c:v>Kindergarten Teacher</c:v>
                </c:pt>
              </c:strCache>
            </c:strRef>
          </c:cat>
          <c:val>
            <c:numRef>
              <c:f>'5C'!$Z$29:$Z$34</c:f>
              <c:numCache>
                <c:formatCode>_("$"* #,##0.00_);_("$"* \(#,##0.00\);_("$"* "-"??_);_(@_)</c:formatCode>
                <c:ptCount val="6"/>
                <c:pt idx="0" formatCode="&quot;$&quot;#,##0.00">
                  <c:v>-0.28000000000000114</c:v>
                </c:pt>
                <c:pt idx="1">
                  <c:v>0.1899999999999995</c:v>
                </c:pt>
                <c:pt idx="2">
                  <c:v>3.7100000000000009</c:v>
                </c:pt>
                <c:pt idx="3">
                  <c:v>5.3299999999999983</c:v>
                </c:pt>
                <c:pt idx="4">
                  <c:v>5.6700000000000017</c:v>
                </c:pt>
                <c:pt idx="5">
                  <c:v>6.3299999999999983</c:v>
                </c:pt>
              </c:numCache>
            </c:numRef>
          </c:val>
          <c:extLst>
            <c:ext xmlns:c16="http://schemas.microsoft.com/office/drawing/2014/chart" uri="{C3380CC4-5D6E-409C-BE32-E72D297353CC}">
              <c16:uniqueId val="{00000003-E07D-4DA9-8104-144E058B8686}"/>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out"/>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'5D'!$A$11</c:f>
              <c:strCache>
                <c:ptCount val="1"/>
                <c:pt idx="0">
                  <c:v>Michigan</c:v>
                </c:pt>
              </c:strCache>
            </c:strRef>
          </c:tx>
          <c:spPr>
            <a:ln w="28575" cap="rnd">
              <a:solidFill>
                <a:srgbClr val="D45D00"/>
              </a:solidFill>
              <a:round/>
            </a:ln>
            <a:effectLst/>
          </c:spPr>
          <c:marker>
            <c:symbol val="none"/>
          </c:marker>
          <c:cat>
            <c:numRef>
              <c:f>'5D'!$B$10:$W$10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'5D'!$B$11:$W$11</c:f>
              <c:numCache>
                <c:formatCode>0.0%</c:formatCode>
                <c:ptCount val="22"/>
                <c:pt idx="0">
                  <c:v>0</c:v>
                </c:pt>
                <c:pt idx="1">
                  <c:v>0.10230743128605362</c:v>
                </c:pt>
                <c:pt idx="2">
                  <c:v>0.2495758398371225</c:v>
                </c:pt>
                <c:pt idx="3">
                  <c:v>0.29733627417712927</c:v>
                </c:pt>
                <c:pt idx="4">
                  <c:v>0.35485239226331861</c:v>
                </c:pt>
                <c:pt idx="5">
                  <c:v>0.43773328808958262</c:v>
                </c:pt>
                <c:pt idx="6">
                  <c:v>0.29674244994910076</c:v>
                </c:pt>
                <c:pt idx="7">
                  <c:v>0.36834068544282322</c:v>
                </c:pt>
                <c:pt idx="8">
                  <c:v>0.43951476077366813</c:v>
                </c:pt>
                <c:pt idx="9">
                  <c:v>0.42848659653885307</c:v>
                </c:pt>
                <c:pt idx="10">
                  <c:v>0.56226671191041733</c:v>
                </c:pt>
                <c:pt idx="11">
                  <c:v>0.69528333898880212</c:v>
                </c:pt>
                <c:pt idx="12">
                  <c:v>0.70758398371224973</c:v>
                </c:pt>
                <c:pt idx="13">
                  <c:v>0.65091618595181544</c:v>
                </c:pt>
                <c:pt idx="14">
                  <c:v>0.71988462843569734</c:v>
                </c:pt>
                <c:pt idx="15">
                  <c:v>0.51756023074312862</c:v>
                </c:pt>
                <c:pt idx="16">
                  <c:v>0.42712928401764505</c:v>
                </c:pt>
                <c:pt idx="17">
                  <c:v>7.3719036308109942E-2</c:v>
                </c:pt>
                <c:pt idx="18">
                  <c:v>-0.21937563624024431</c:v>
                </c:pt>
                <c:pt idx="19">
                  <c:v>-0.54801493043773331</c:v>
                </c:pt>
                <c:pt idx="20">
                  <c:v>-0.66652527994570754</c:v>
                </c:pt>
                <c:pt idx="21">
                  <c:v>-0.58856464200882253</c:v>
                </c:pt>
              </c:numCache>
            </c:numRef>
          </c:val>
          <c:smooth val="0"/>
          <c:extLst>
            <c:ext xmlns:c16="http://schemas.microsoft.com/office/drawing/2014/chart" uri="{C3380CC4-5D6E-409C-BE32-E72D297353CC}">
              <c16:uniqueId val="{00000000-D577-4A34-B8C4-664FBCE9855E}"/>
            </c:ext>
          </c:extLst>
        </c:ser>
        <c:ser>
          <c:idx val="1"/>
          <c:order val="1"/>
          <c:tx>
            <c:strRef>
              <c:f>'5D'!$A$12</c:f>
              <c:strCache>
                <c:ptCount val="1"/>
                <c:pt idx="0">
                  <c:v>United States</c:v>
                </c:pt>
              </c:strCache>
            </c:strRef>
          </c:tx>
          <c:spPr>
            <a:ln w="28575" cap="rnd">
              <a:solidFill>
                <a:srgbClr val="003E51"/>
              </a:solidFill>
              <a:round/>
            </a:ln>
            <a:effectLst/>
          </c:spPr>
          <c:marker>
            <c:symbol val="none"/>
          </c:marker>
          <c:cat>
            <c:numRef>
              <c:f>'5D'!$B$10:$W$10</c:f>
              <c:numCache>
                <c:formatCode>General</c:formatCode>
                <c:ptCount val="22"/>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numCache>
            </c:numRef>
          </c:cat>
          <c:val>
            <c:numRef>
              <c:f>'5D'!$B$12:$W$12</c:f>
              <c:numCache>
                <c:formatCode>0.0%</c:formatCode>
                <c:ptCount val="22"/>
                <c:pt idx="0">
                  <c:v>0</c:v>
                </c:pt>
                <c:pt idx="1">
                  <c:v>0.10232473707181232</c:v>
                </c:pt>
                <c:pt idx="2">
                  <c:v>0.22068201042056923</c:v>
                </c:pt>
                <c:pt idx="3">
                  <c:v>0.28613307275473038</c:v>
                </c:pt>
                <c:pt idx="4">
                  <c:v>0.36427961732023745</c:v>
                </c:pt>
                <c:pt idx="5">
                  <c:v>0.48646832309171878</c:v>
                </c:pt>
                <c:pt idx="6">
                  <c:v>0.44764417116306376</c:v>
                </c:pt>
                <c:pt idx="7">
                  <c:v>0.62658983202722174</c:v>
                </c:pt>
                <c:pt idx="8">
                  <c:v>0.8178486043466674</c:v>
                </c:pt>
                <c:pt idx="9">
                  <c:v>0.93812159390678651</c:v>
                </c:pt>
                <c:pt idx="10">
                  <c:v>1.1088134532715874</c:v>
                </c:pt>
                <c:pt idx="11">
                  <c:v>1.3093881681349961</c:v>
                </c:pt>
                <c:pt idx="12">
                  <c:v>1.3608112440182147</c:v>
                </c:pt>
                <c:pt idx="13">
                  <c:v>1.3494521283375369</c:v>
                </c:pt>
                <c:pt idx="14">
                  <c:v>1.385252075037368</c:v>
                </c:pt>
                <c:pt idx="15">
                  <c:v>1.322396499183117</c:v>
                </c:pt>
                <c:pt idx="16">
                  <c:v>1.3451379045309007</c:v>
                </c:pt>
                <c:pt idx="17">
                  <c:v>1.2577951496846407</c:v>
                </c:pt>
                <c:pt idx="18">
                  <c:v>1.1328603265214687</c:v>
                </c:pt>
                <c:pt idx="19">
                  <c:v>0.76149333168540545</c:v>
                </c:pt>
                <c:pt idx="20">
                  <c:v>0.48826044470879953</c:v>
                </c:pt>
                <c:pt idx="21">
                  <c:v>0.57210392760446638</c:v>
                </c:pt>
              </c:numCache>
            </c:numRef>
          </c:val>
          <c:smooth val="0"/>
          <c:extLst>
            <c:ext xmlns:c16="http://schemas.microsoft.com/office/drawing/2014/chart" uri="{C3380CC4-5D6E-409C-BE32-E72D297353CC}">
              <c16:uniqueId val="{00000001-D577-4A34-B8C4-664FBCE9855E}"/>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35357566605542E-2"/>
          <c:y val="0.15297704808175575"/>
          <c:w val="0.92244606147097785"/>
          <c:h val="0.81976433796839221"/>
        </c:manualLayout>
      </c:layout>
      <c:lineChart>
        <c:grouping val="standard"/>
        <c:varyColors val="0"/>
        <c:ser>
          <c:idx val="0"/>
          <c:order val="0"/>
          <c:tx>
            <c:strRef>
              <c:f>'5D'!$A$22</c:f>
              <c:strCache>
                <c:ptCount val="1"/>
                <c:pt idx="0">
                  <c:v>Michigan </c:v>
                </c:pt>
              </c:strCache>
            </c:strRef>
          </c:tx>
          <c:spPr>
            <a:ln w="28575" cap="rnd">
              <a:solidFill>
                <a:srgbClr val="D45D00"/>
              </a:solidFill>
              <a:round/>
            </a:ln>
            <a:effectLst/>
          </c:spPr>
          <c:marker>
            <c:symbol val="none"/>
          </c:marker>
          <c:cat>
            <c:numRef>
              <c:f>'5D'!$B$21:$S$21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'5D'!$B$22:$S$22</c:f>
              <c:numCache>
                <c:formatCode>0.0%</c:formatCode>
                <c:ptCount val="18"/>
                <c:pt idx="0">
                  <c:v>0</c:v>
                </c:pt>
                <c:pt idx="1">
                  <c:v>0.37140992167101833</c:v>
                </c:pt>
                <c:pt idx="2">
                  <c:v>0.46736292428198434</c:v>
                </c:pt>
                <c:pt idx="3">
                  <c:v>0.51566579634464738</c:v>
                </c:pt>
                <c:pt idx="4">
                  <c:v>0.15665796344647509</c:v>
                </c:pt>
                <c:pt idx="5">
                  <c:v>0.12010443864229764</c:v>
                </c:pt>
                <c:pt idx="6">
                  <c:v>2.8067885117493453E-2</c:v>
                </c:pt>
                <c:pt idx="7">
                  <c:v>-0.27154046997389036</c:v>
                </c:pt>
                <c:pt idx="8">
                  <c:v>-0.27415143603133163</c:v>
                </c:pt>
                <c:pt idx="9">
                  <c:v>-0.26892950391644915</c:v>
                </c:pt>
                <c:pt idx="10">
                  <c:v>-0.26436031331592691</c:v>
                </c:pt>
                <c:pt idx="11">
                  <c:v>-0.20822454308093991</c:v>
                </c:pt>
                <c:pt idx="12">
                  <c:v>-0.2069190600522193</c:v>
                </c:pt>
                <c:pt idx="13">
                  <c:v>-0.12402088772845955</c:v>
                </c:pt>
                <c:pt idx="14">
                  <c:v>-0.16383812010443863</c:v>
                </c:pt>
                <c:pt idx="15">
                  <c:v>-0.195822454308094</c:v>
                </c:pt>
                <c:pt idx="16">
                  <c:v>-5.7441253263707623E-2</c:v>
                </c:pt>
                <c:pt idx="17">
                  <c:v>-1.8276762402088847E-2</c:v>
                </c:pt>
              </c:numCache>
            </c:numRef>
          </c:val>
          <c:smooth val="0"/>
          <c:extLst>
            <c:ext xmlns:c16="http://schemas.microsoft.com/office/drawing/2014/chart" uri="{C3380CC4-5D6E-409C-BE32-E72D297353CC}">
              <c16:uniqueId val="{00000000-CD8E-402E-B604-28F61CC89250}"/>
            </c:ext>
          </c:extLst>
        </c:ser>
        <c:ser>
          <c:idx val="1"/>
          <c:order val="1"/>
          <c:tx>
            <c:strRef>
              <c:f>'5D'!$A$23</c:f>
              <c:strCache>
                <c:ptCount val="1"/>
                <c:pt idx="0">
                  <c:v>United States</c:v>
                </c:pt>
              </c:strCache>
            </c:strRef>
          </c:tx>
          <c:spPr>
            <a:ln w="28575" cap="rnd">
              <a:solidFill>
                <a:srgbClr val="003E51"/>
              </a:solidFill>
              <a:round/>
            </a:ln>
            <a:effectLst/>
          </c:spPr>
          <c:marker>
            <c:symbol val="none"/>
          </c:marker>
          <c:cat>
            <c:numRef>
              <c:f>'5D'!$B$21:$S$21</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'5D'!$B$23:$S$23</c:f>
              <c:numCache>
                <c:formatCode>0.0%</c:formatCode>
                <c:ptCount val="18"/>
                <c:pt idx="0">
                  <c:v>0</c:v>
                </c:pt>
                <c:pt idx="1">
                  <c:v>8.94854586129748E-3</c:v>
                </c:pt>
                <c:pt idx="2">
                  <c:v>4.6234153616703896E-2</c:v>
                </c:pt>
                <c:pt idx="3">
                  <c:v>8.8739746457867225E-2</c:v>
                </c:pt>
                <c:pt idx="4">
                  <c:v>0.1193139448173005</c:v>
                </c:pt>
                <c:pt idx="5">
                  <c:v>6.0402684563758427E-2</c:v>
                </c:pt>
                <c:pt idx="6">
                  <c:v>4.6234153616703896E-2</c:v>
                </c:pt>
                <c:pt idx="7">
                  <c:v>-5.2945563012677173E-2</c:v>
                </c:pt>
                <c:pt idx="8">
                  <c:v>-5.5928411633109618E-2</c:v>
                </c:pt>
                <c:pt idx="9">
                  <c:v>-3.65398956002983E-2</c:v>
                </c:pt>
                <c:pt idx="10">
                  <c:v>-2.1625652498135788E-2</c:v>
                </c:pt>
                <c:pt idx="11">
                  <c:v>8.94854586129748E-3</c:v>
                </c:pt>
                <c:pt idx="12">
                  <c:v>2.3862788963460127E-2</c:v>
                </c:pt>
                <c:pt idx="13">
                  <c:v>3.5794183445190191E-2</c:v>
                </c:pt>
                <c:pt idx="14">
                  <c:v>3.2811334824757607E-2</c:v>
                </c:pt>
                <c:pt idx="15">
                  <c:v>5.3691275167785282E-2</c:v>
                </c:pt>
                <c:pt idx="16">
                  <c:v>7.9791200596569745E-2</c:v>
                </c:pt>
                <c:pt idx="17">
                  <c:v>0.26398210290827734</c:v>
                </c:pt>
              </c:numCache>
            </c:numRef>
          </c:val>
          <c:smooth val="0"/>
          <c:extLst>
            <c:ext xmlns:c16="http://schemas.microsoft.com/office/drawing/2014/chart" uri="{C3380CC4-5D6E-409C-BE32-E72D297353CC}">
              <c16:uniqueId val="{00000001-CD8E-402E-B604-28F61CC89250}"/>
            </c:ext>
          </c:extLst>
        </c:ser>
        <c:dLbls>
          <c:showLegendKey val="0"/>
          <c:showVal val="0"/>
          <c:showCatName val="0"/>
          <c:showSerName val="0"/>
          <c:showPercent val="0"/>
          <c:showBubbleSize val="0"/>
        </c:dLbls>
        <c:smooth val="0"/>
        <c:axId val="2107907888"/>
        <c:axId val="2107908720"/>
      </c:lineChart>
      <c:catAx>
        <c:axId val="2107907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8720"/>
        <c:crosses val="autoZero"/>
        <c:auto val="1"/>
        <c:lblAlgn val="ctr"/>
        <c:lblOffset val="100"/>
        <c:noMultiLvlLbl val="0"/>
      </c:catAx>
      <c:valAx>
        <c:axId val="2107908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107907888"/>
        <c:crosses val="autoZero"/>
        <c:crossBetween val="between"/>
      </c:valAx>
      <c:spPr>
        <a:noFill/>
        <a:ln>
          <a:noFill/>
        </a:ln>
        <a:effectLst/>
      </c:spPr>
    </c:plotArea>
    <c:legend>
      <c:legendPos val="t"/>
      <c:layout>
        <c:manualLayout>
          <c:xMode val="edge"/>
          <c:yMode val="edge"/>
          <c:x val="0.24332921620091605"/>
          <c:y val="7.5581616127771256E-2"/>
          <c:w val="0.50075863804695642"/>
          <c:h val="6.64455932494419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4"/>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'5E'!$A$5:$B$5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'5E'!$B$7:$B$16</c:f>
              <c:numCache>
                <c:formatCode>0.0%</c:formatCode>
                <c:ptCount val="10"/>
                <c:pt idx="0">
                  <c:v>0.16354114317454441</c:v>
                </c:pt>
                <c:pt idx="1">
                  <c:v>0.12595551088422779</c:v>
                </c:pt>
                <c:pt idx="2">
                  <c:v>8.9084032057555482E-2</c:v>
                </c:pt>
                <c:pt idx="3">
                  <c:v>6.3824159547173798E-2</c:v>
                </c:pt>
                <c:pt idx="4">
                  <c:v>6.1364297616843443E-2</c:v>
                </c:pt>
                <c:pt idx="5">
                  <c:v>5.7158727219827017E-2</c:v>
                </c:pt>
                <c:pt idx="6">
                  <c:v>5.6682624910730818E-2</c:v>
                </c:pt>
                <c:pt idx="7">
                  <c:v>5.4169862723834214E-2</c:v>
                </c:pt>
                <c:pt idx="8">
                  <c:v>5.1419049382389503E-2</c:v>
                </c:pt>
                <c:pt idx="9">
                  <c:v>4.7372179755071811E-2</c:v>
                </c:pt>
              </c:numCache>
            </c:numRef>
          </c:val>
          <c:extLst>
            <c:ext xmlns:c16="http://schemas.microsoft.com/office/drawing/2014/chart" uri="{C3380CC4-5D6E-409C-BE32-E72D297353CC}">
              <c16:uniqueId val="{00000000-1358-4B8E-99E6-22128E5DAD0D}"/>
            </c:ext>
          </c:extLst>
        </c:ser>
        <c:ser>
          <c:idx val="1"/>
          <c:order val="1"/>
          <c:spPr>
            <a:solidFill>
              <a:schemeClr val="accent2"/>
            </a:solidFill>
            <a:ln>
              <a:noFill/>
            </a:ln>
            <a:effectLst/>
          </c:spPr>
          <c:invertIfNegative val="0"/>
          <c:dLbls>
            <c:delete val="1"/>
          </c:dLbls>
          <c:cat>
            <c:strRef>
              <c:f>'5E'!$A$7:$A$16</c:f>
              <c:strCache>
                <c:ptCount val="10"/>
                <c:pt idx="0">
                  <c:v>Teachers and Instructors</c:v>
                </c:pt>
                <c:pt idx="1">
                  <c:v>Teaching Assistants, Except Postsecondary</c:v>
                </c:pt>
                <c:pt idx="2">
                  <c:v>Postsecondary Teachers</c:v>
                </c:pt>
                <c:pt idx="3">
                  <c:v>Secondary School Teachers</c:v>
                </c:pt>
                <c:pt idx="4">
                  <c:v>Coaches and Scouts</c:v>
                </c:pt>
                <c:pt idx="5">
                  <c:v>Secretaries and Admin. Assistants</c:v>
                </c:pt>
                <c:pt idx="6">
                  <c:v>Social and Human Service Assistants</c:v>
                </c:pt>
                <c:pt idx="7">
                  <c:v>Retail Salespersons</c:v>
                </c:pt>
                <c:pt idx="8">
                  <c:v>Elementary School Teachers</c:v>
                </c:pt>
                <c:pt idx="9">
                  <c:v>Customer Service Representatives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1358-4B8E-99E6-22128E5DAD0D}"/>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7140245148853073E-2"/>
          <c:y val="2.4968749250271559E-2"/>
          <c:w val="0.55482852426724794"/>
          <c:h val="0.90642946317103623"/>
        </c:manualLayout>
      </c:layout>
      <c:barChart>
        <c:barDir val="bar"/>
        <c:grouping val="stacked"/>
        <c:varyColors val="0"/>
        <c:ser>
          <c:idx val="0"/>
          <c:order val="0"/>
          <c:tx>
            <c:strRef>
              <c:f>'5E'!$C$5:$D$5</c:f>
              <c:strCache>
                <c:ptCount val="1"/>
                <c:pt idx="0">
                  <c:v>Following</c:v>
                </c:pt>
              </c:strCache>
            </c:strRef>
          </c:tx>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'5E'!$C$7:$C$16</c:f>
              <c:strCache>
                <c:ptCount val="10"/>
                <c:pt idx="0">
                  <c:v>Teachers and Instructors</c:v>
                </c:pt>
                <c:pt idx="1">
                  <c:v>Secondary School Teachers</c:v>
                </c:pt>
                <c:pt idx="2">
                  <c:v>Teaching Assistants, Except Postsecondary</c:v>
                </c:pt>
                <c:pt idx="3">
                  <c:v>Elementary School Teachers</c:v>
                </c:pt>
                <c:pt idx="4">
                  <c:v>Postsecondary Teachers</c:v>
                </c:pt>
                <c:pt idx="5">
                  <c:v>Middle School Teachers</c:v>
                </c:pt>
                <c:pt idx="6">
                  <c:v>Social and Human Service Assistants</c:v>
                </c:pt>
                <c:pt idx="7">
                  <c:v>Secretaries and Admin. Assistants</c:v>
                </c:pt>
                <c:pt idx="8">
                  <c:v>Coaches and Scouts</c:v>
                </c:pt>
                <c:pt idx="9">
                  <c:v>Customer Service Representatives</c:v>
                </c:pt>
              </c:strCache>
            </c:strRef>
          </c:cat>
          <c:val>
            <c:numRef>
              <c:f>'5E'!$D$7:$D$16</c:f>
              <c:numCache>
                <c:formatCode>0.0%</c:formatCode>
                <c:ptCount val="10"/>
                <c:pt idx="0">
                  <c:v>0.14864015797504712</c:v>
                </c:pt>
                <c:pt idx="1">
                  <c:v>0.13481734135176376</c:v>
                </c:pt>
                <c:pt idx="2">
                  <c:v>0.11857104389193071</c:v>
                </c:pt>
                <c:pt idx="3">
                  <c:v>0.11224306615205099</c:v>
                </c:pt>
                <c:pt idx="4">
                  <c:v>9.6759716362983569E-2</c:v>
                </c:pt>
                <c:pt idx="5">
                  <c:v>9.604164796696886E-2</c:v>
                </c:pt>
                <c:pt idx="6">
                  <c:v>7.6384525626065888E-2</c:v>
                </c:pt>
                <c:pt idx="7">
                  <c:v>7.2076115249977563E-2</c:v>
                </c:pt>
                <c:pt idx="8">
                  <c:v>7.0774616282200886E-2</c:v>
                </c:pt>
                <c:pt idx="9">
                  <c:v>6.9158962391167755E-2</c:v>
                </c:pt>
              </c:numCache>
            </c:numRef>
          </c:val>
          <c:extLst>
            <c:ext xmlns:c16="http://schemas.microsoft.com/office/drawing/2014/chart" uri="{C3380CC4-5D6E-409C-BE32-E72D297353CC}">
              <c16:uniqueId val="{00000000-ECCD-4BF6-BF05-FDAB6403DEB4}"/>
            </c:ext>
          </c:extLst>
        </c:ser>
        <c:dLbls>
          <c:showLegendKey val="0"/>
          <c:showVal val="0"/>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autoZero"/>
        <c:auto val="1"/>
        <c:lblAlgn val="ctr"/>
        <c:lblOffset val="100"/>
        <c:noMultiLvlLbl val="0"/>
      </c:catAx>
      <c:valAx>
        <c:axId val="1972497664"/>
        <c:scaling>
          <c:orientation val="minMax"/>
          <c:max val="0.18000000000000002"/>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At val="0"/>
        <c:crossBetween val="between"/>
      </c:valAx>
      <c:spPr>
        <a:noFill/>
        <a:ln>
          <a:noFill/>
        </a:ln>
        <a:effectLst/>
      </c:spPr>
    </c:plotArea>
    <c:plotVisOnly val="1"/>
    <c:dispBlanksAs val="gap"/>
    <c:showDLblsOverMax val="0"/>
  </c:chart>
  <c:spPr>
    <a:gradFill flip="none" rotWithShape="1">
      <a:gsLst>
        <a:gs pos="0">
          <a:schemeClr val="accent1">
            <a:lumMod val="5000"/>
            <a:lumOff val="95000"/>
            <a:alpha val="0"/>
          </a:schemeClr>
        </a:gs>
        <a:gs pos="17000">
          <a:schemeClr val="bg1"/>
        </a:gs>
      </a:gsLst>
      <a:lin ang="0" scaled="1"/>
      <a:tileRect/>
    </a:gra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02212442620602E-2"/>
          <c:y val="0.12381337038752507"/>
          <c:w val="0.9061045694401979"/>
          <c:h val="0.80905382121352476"/>
        </c:manualLayout>
      </c:layout>
      <c:areaChart>
        <c:grouping val="stacked"/>
        <c:varyColors val="0"/>
        <c:ser>
          <c:idx val="0"/>
          <c:order val="0"/>
          <c:tx>
            <c:strRef>
              <c:f>'5F'!$B$4</c:f>
              <c:strCache>
                <c:ptCount val="1"/>
                <c:pt idx="0">
                  <c:v>Job Postings</c:v>
                </c:pt>
              </c:strCache>
            </c:strRef>
          </c:tx>
          <c:spPr>
            <a:solidFill>
              <a:srgbClr val="003E51"/>
            </a:solidFill>
            <a:ln w="25400">
              <a:noFill/>
            </a:ln>
            <a:effectLst/>
          </c:spPr>
          <c:cat>
            <c:numRef>
              <c:f>'5F'!$A$5:$A$64</c:f>
              <c:numCache>
                <c:formatCode>mmm\-yy</c:formatCode>
                <c:ptCount val="60"/>
                <c:pt idx="0">
                  <c:v>43313</c:v>
                </c:pt>
                <c:pt idx="1">
                  <c:v>43344</c:v>
                </c:pt>
                <c:pt idx="2">
                  <c:v>43374</c:v>
                </c:pt>
                <c:pt idx="3">
                  <c:v>43405</c:v>
                </c:pt>
                <c:pt idx="4">
                  <c:v>43435</c:v>
                </c:pt>
                <c:pt idx="5">
                  <c:v>43466</c:v>
                </c:pt>
                <c:pt idx="6">
                  <c:v>43497</c:v>
                </c:pt>
                <c:pt idx="7">
                  <c:v>43525</c:v>
                </c:pt>
                <c:pt idx="8">
                  <c:v>43556</c:v>
                </c:pt>
                <c:pt idx="9">
                  <c:v>43586</c:v>
                </c:pt>
                <c:pt idx="10">
                  <c:v>43617</c:v>
                </c:pt>
                <c:pt idx="11">
                  <c:v>43647</c:v>
                </c:pt>
                <c:pt idx="12">
                  <c:v>43678</c:v>
                </c:pt>
                <c:pt idx="13">
                  <c:v>43709</c:v>
                </c:pt>
                <c:pt idx="14">
                  <c:v>43739</c:v>
                </c:pt>
                <c:pt idx="15">
                  <c:v>43770</c:v>
                </c:pt>
                <c:pt idx="16">
                  <c:v>43800</c:v>
                </c:pt>
                <c:pt idx="17">
                  <c:v>43831</c:v>
                </c:pt>
                <c:pt idx="18">
                  <c:v>43862</c:v>
                </c:pt>
                <c:pt idx="19">
                  <c:v>43891</c:v>
                </c:pt>
                <c:pt idx="20">
                  <c:v>43922</c:v>
                </c:pt>
                <c:pt idx="21">
                  <c:v>43952</c:v>
                </c:pt>
                <c:pt idx="22">
                  <c:v>43983</c:v>
                </c:pt>
                <c:pt idx="23">
                  <c:v>44013</c:v>
                </c:pt>
                <c:pt idx="24">
                  <c:v>44044</c:v>
                </c:pt>
                <c:pt idx="25">
                  <c:v>44075</c:v>
                </c:pt>
                <c:pt idx="26">
                  <c:v>44105</c:v>
                </c:pt>
                <c:pt idx="27">
                  <c:v>44136</c:v>
                </c:pt>
                <c:pt idx="28">
                  <c:v>44166</c:v>
                </c:pt>
                <c:pt idx="29">
                  <c:v>44197</c:v>
                </c:pt>
                <c:pt idx="30">
                  <c:v>44228</c:v>
                </c:pt>
                <c:pt idx="31">
                  <c:v>44256</c:v>
                </c:pt>
                <c:pt idx="32">
                  <c:v>44287</c:v>
                </c:pt>
                <c:pt idx="33">
                  <c:v>44317</c:v>
                </c:pt>
                <c:pt idx="34">
                  <c:v>44348</c:v>
                </c:pt>
                <c:pt idx="35">
                  <c:v>44378</c:v>
                </c:pt>
                <c:pt idx="36">
                  <c:v>44409</c:v>
                </c:pt>
                <c:pt idx="37">
                  <c:v>44440</c:v>
                </c:pt>
                <c:pt idx="38">
                  <c:v>44470</c:v>
                </c:pt>
                <c:pt idx="39">
                  <c:v>44501</c:v>
                </c:pt>
                <c:pt idx="40">
                  <c:v>44531</c:v>
                </c:pt>
                <c:pt idx="41">
                  <c:v>44562</c:v>
                </c:pt>
                <c:pt idx="42">
                  <c:v>44593</c:v>
                </c:pt>
                <c:pt idx="43">
                  <c:v>44621</c:v>
                </c:pt>
                <c:pt idx="44">
                  <c:v>44652</c:v>
                </c:pt>
                <c:pt idx="45">
                  <c:v>44682</c:v>
                </c:pt>
                <c:pt idx="46">
                  <c:v>44713</c:v>
                </c:pt>
                <c:pt idx="47">
                  <c:v>44743</c:v>
                </c:pt>
                <c:pt idx="48">
                  <c:v>44774</c:v>
                </c:pt>
                <c:pt idx="49">
                  <c:v>44805</c:v>
                </c:pt>
                <c:pt idx="50">
                  <c:v>44835</c:v>
                </c:pt>
                <c:pt idx="51">
                  <c:v>44866</c:v>
                </c:pt>
                <c:pt idx="52">
                  <c:v>44896</c:v>
                </c:pt>
                <c:pt idx="53">
                  <c:v>44927</c:v>
                </c:pt>
                <c:pt idx="54">
                  <c:v>44958</c:v>
                </c:pt>
                <c:pt idx="55">
                  <c:v>44986</c:v>
                </c:pt>
                <c:pt idx="56">
                  <c:v>45017</c:v>
                </c:pt>
                <c:pt idx="57">
                  <c:v>45047</c:v>
                </c:pt>
                <c:pt idx="58">
                  <c:v>45078</c:v>
                </c:pt>
                <c:pt idx="59">
                  <c:v>45108</c:v>
                </c:pt>
              </c:numCache>
            </c:numRef>
          </c:cat>
          <c:val>
            <c:numRef>
              <c:f>'5F'!$B$5:$B$64</c:f>
              <c:numCache>
                <c:formatCode>#,##0</c:formatCode>
                <c:ptCount val="60"/>
                <c:pt idx="0">
                  <c:v>113</c:v>
                </c:pt>
                <c:pt idx="1">
                  <c:v>155</c:v>
                </c:pt>
                <c:pt idx="2">
                  <c:v>241</c:v>
                </c:pt>
                <c:pt idx="3">
                  <c:v>280</c:v>
                </c:pt>
                <c:pt idx="4">
                  <c:v>231</c:v>
                </c:pt>
                <c:pt idx="5">
                  <c:v>201</c:v>
                </c:pt>
                <c:pt idx="6">
                  <c:v>146</c:v>
                </c:pt>
                <c:pt idx="7">
                  <c:v>159</c:v>
                </c:pt>
                <c:pt idx="8">
                  <c:v>147</c:v>
                </c:pt>
                <c:pt idx="9">
                  <c:v>140</c:v>
                </c:pt>
                <c:pt idx="10">
                  <c:v>98</c:v>
                </c:pt>
                <c:pt idx="11">
                  <c:v>103</c:v>
                </c:pt>
                <c:pt idx="12">
                  <c:v>138</c:v>
                </c:pt>
                <c:pt idx="13">
                  <c:v>190</c:v>
                </c:pt>
                <c:pt idx="14">
                  <c:v>189</c:v>
                </c:pt>
                <c:pt idx="15">
                  <c:v>152</c:v>
                </c:pt>
                <c:pt idx="16">
                  <c:v>128</c:v>
                </c:pt>
                <c:pt idx="17">
                  <c:v>138</c:v>
                </c:pt>
                <c:pt idx="18">
                  <c:v>130</c:v>
                </c:pt>
                <c:pt idx="19">
                  <c:v>98</c:v>
                </c:pt>
                <c:pt idx="20">
                  <c:v>73</c:v>
                </c:pt>
                <c:pt idx="21">
                  <c:v>48</c:v>
                </c:pt>
                <c:pt idx="22">
                  <c:v>53</c:v>
                </c:pt>
                <c:pt idx="23">
                  <c:v>135</c:v>
                </c:pt>
                <c:pt idx="24">
                  <c:v>218</c:v>
                </c:pt>
                <c:pt idx="25">
                  <c:v>276</c:v>
                </c:pt>
                <c:pt idx="26">
                  <c:v>243</c:v>
                </c:pt>
                <c:pt idx="27">
                  <c:v>181</c:v>
                </c:pt>
                <c:pt idx="28">
                  <c:v>139</c:v>
                </c:pt>
                <c:pt idx="29">
                  <c:v>157</c:v>
                </c:pt>
                <c:pt idx="30">
                  <c:v>158</c:v>
                </c:pt>
                <c:pt idx="31">
                  <c:v>171</c:v>
                </c:pt>
                <c:pt idx="32">
                  <c:v>113</c:v>
                </c:pt>
                <c:pt idx="33">
                  <c:v>94</c:v>
                </c:pt>
                <c:pt idx="34">
                  <c:v>60</c:v>
                </c:pt>
                <c:pt idx="35">
                  <c:v>67</c:v>
                </c:pt>
                <c:pt idx="36">
                  <c:v>163</c:v>
                </c:pt>
                <c:pt idx="37">
                  <c:v>209</c:v>
                </c:pt>
                <c:pt idx="38">
                  <c:v>235</c:v>
                </c:pt>
                <c:pt idx="39">
                  <c:v>173</c:v>
                </c:pt>
                <c:pt idx="40">
                  <c:v>200</c:v>
                </c:pt>
                <c:pt idx="41">
                  <c:v>174</c:v>
                </c:pt>
                <c:pt idx="42">
                  <c:v>165</c:v>
                </c:pt>
                <c:pt idx="43">
                  <c:v>167</c:v>
                </c:pt>
                <c:pt idx="44">
                  <c:v>152</c:v>
                </c:pt>
                <c:pt idx="45">
                  <c:v>157</c:v>
                </c:pt>
                <c:pt idx="46">
                  <c:v>150</c:v>
                </c:pt>
                <c:pt idx="47">
                  <c:v>155</c:v>
                </c:pt>
                <c:pt idx="48">
                  <c:v>162</c:v>
                </c:pt>
                <c:pt idx="49">
                  <c:v>178</c:v>
                </c:pt>
                <c:pt idx="50">
                  <c:v>180</c:v>
                </c:pt>
                <c:pt idx="51">
                  <c:v>204</c:v>
                </c:pt>
                <c:pt idx="52">
                  <c:v>159</c:v>
                </c:pt>
                <c:pt idx="53">
                  <c:v>131</c:v>
                </c:pt>
                <c:pt idx="54">
                  <c:v>74</c:v>
                </c:pt>
                <c:pt idx="55">
                  <c:v>108</c:v>
                </c:pt>
                <c:pt idx="56">
                  <c:v>127</c:v>
                </c:pt>
                <c:pt idx="57">
                  <c:v>96</c:v>
                </c:pt>
                <c:pt idx="58">
                  <c:v>90</c:v>
                </c:pt>
                <c:pt idx="59">
                  <c:v>88</c:v>
                </c:pt>
              </c:numCache>
            </c:numRef>
          </c:val>
          <c:extLst>
            <c:ext xmlns:c16="http://schemas.microsoft.com/office/drawing/2014/chart" uri="{C3380CC4-5D6E-409C-BE32-E72D297353CC}">
              <c16:uniqueId val="{00000000-F437-4991-A956-E464FE507040}"/>
            </c:ext>
          </c:extLst>
        </c:ser>
        <c:dLbls>
          <c:showLegendKey val="0"/>
          <c:showVal val="0"/>
          <c:showCatName val="0"/>
          <c:showSerName val="0"/>
          <c:showPercent val="0"/>
          <c:showBubbleSize val="0"/>
        </c:dLbls>
        <c:axId val="309875983"/>
        <c:axId val="309892623"/>
      </c:areaChart>
      <c:lineChart>
        <c:grouping val="standard"/>
        <c:varyColors val="0"/>
        <c:ser>
          <c:idx val="1"/>
          <c:order val="1"/>
          <c:tx>
            <c:strRef>
              <c:f>'5F'!$C$4</c:f>
              <c:strCache>
                <c:ptCount val="1"/>
                <c:pt idx="0">
                  <c:v>Median Advertised Wage</c:v>
                </c:pt>
              </c:strCache>
            </c:strRef>
          </c:tx>
          <c:spPr>
            <a:ln w="28575" cap="rnd">
              <a:solidFill>
                <a:srgbClr val="D45D00"/>
              </a:solidFill>
              <a:round/>
            </a:ln>
            <a:effectLst/>
          </c:spPr>
          <c:marker>
            <c:symbol val="none"/>
          </c:marker>
          <c:cat>
            <c:numRef>
              <c:f>'[2]Early Head Start Teacher'!$A$183:$A$242</c:f>
              <c:numCache>
                <c:formatCode>General</c:formatCode>
                <c:ptCount val="60"/>
                <c:pt idx="0">
                  <c:v>44958</c:v>
                </c:pt>
                <c:pt idx="1">
                  <c:v>44927</c:v>
                </c:pt>
                <c:pt idx="2">
                  <c:v>44896</c:v>
                </c:pt>
                <c:pt idx="3">
                  <c:v>44866</c:v>
                </c:pt>
                <c:pt idx="4">
                  <c:v>44835</c:v>
                </c:pt>
                <c:pt idx="5">
                  <c:v>44805</c:v>
                </c:pt>
                <c:pt idx="6">
                  <c:v>44774</c:v>
                </c:pt>
                <c:pt idx="7">
                  <c:v>44743</c:v>
                </c:pt>
                <c:pt idx="8">
                  <c:v>44713</c:v>
                </c:pt>
                <c:pt idx="9">
                  <c:v>44682</c:v>
                </c:pt>
                <c:pt idx="10">
                  <c:v>44652</c:v>
                </c:pt>
                <c:pt idx="11">
                  <c:v>44621</c:v>
                </c:pt>
                <c:pt idx="12">
                  <c:v>44593</c:v>
                </c:pt>
                <c:pt idx="13">
                  <c:v>44562</c:v>
                </c:pt>
                <c:pt idx="14">
                  <c:v>44531</c:v>
                </c:pt>
                <c:pt idx="15">
                  <c:v>44501</c:v>
                </c:pt>
                <c:pt idx="16">
                  <c:v>44470</c:v>
                </c:pt>
                <c:pt idx="17">
                  <c:v>44440</c:v>
                </c:pt>
                <c:pt idx="18">
                  <c:v>44409</c:v>
                </c:pt>
                <c:pt idx="19">
                  <c:v>44378</c:v>
                </c:pt>
                <c:pt idx="20">
                  <c:v>44348</c:v>
                </c:pt>
                <c:pt idx="21">
                  <c:v>44317</c:v>
                </c:pt>
                <c:pt idx="22">
                  <c:v>44287</c:v>
                </c:pt>
                <c:pt idx="23">
                  <c:v>44256</c:v>
                </c:pt>
                <c:pt idx="24">
                  <c:v>44228</c:v>
                </c:pt>
                <c:pt idx="25">
                  <c:v>44197</c:v>
                </c:pt>
                <c:pt idx="26">
                  <c:v>44166</c:v>
                </c:pt>
                <c:pt idx="27">
                  <c:v>44136</c:v>
                </c:pt>
                <c:pt idx="28">
                  <c:v>44105</c:v>
                </c:pt>
                <c:pt idx="29">
                  <c:v>44075</c:v>
                </c:pt>
                <c:pt idx="30">
                  <c:v>44044</c:v>
                </c:pt>
                <c:pt idx="31">
                  <c:v>44013</c:v>
                </c:pt>
                <c:pt idx="32">
                  <c:v>43983</c:v>
                </c:pt>
                <c:pt idx="33">
                  <c:v>43952</c:v>
                </c:pt>
                <c:pt idx="34">
                  <c:v>43922</c:v>
                </c:pt>
                <c:pt idx="35">
                  <c:v>43891</c:v>
                </c:pt>
                <c:pt idx="36">
                  <c:v>43862</c:v>
                </c:pt>
                <c:pt idx="37">
                  <c:v>43831</c:v>
                </c:pt>
                <c:pt idx="38">
                  <c:v>43800</c:v>
                </c:pt>
                <c:pt idx="39">
                  <c:v>43770</c:v>
                </c:pt>
                <c:pt idx="40">
                  <c:v>43739</c:v>
                </c:pt>
                <c:pt idx="41">
                  <c:v>43709</c:v>
                </c:pt>
                <c:pt idx="42">
                  <c:v>43678</c:v>
                </c:pt>
                <c:pt idx="43">
                  <c:v>43647</c:v>
                </c:pt>
                <c:pt idx="44">
                  <c:v>43617</c:v>
                </c:pt>
                <c:pt idx="45">
                  <c:v>43586</c:v>
                </c:pt>
                <c:pt idx="46">
                  <c:v>43556</c:v>
                </c:pt>
                <c:pt idx="47">
                  <c:v>43525</c:v>
                </c:pt>
                <c:pt idx="48">
                  <c:v>43497</c:v>
                </c:pt>
                <c:pt idx="49">
                  <c:v>43466</c:v>
                </c:pt>
                <c:pt idx="50">
                  <c:v>43435</c:v>
                </c:pt>
                <c:pt idx="51">
                  <c:v>43405</c:v>
                </c:pt>
                <c:pt idx="52">
                  <c:v>43374</c:v>
                </c:pt>
                <c:pt idx="53">
                  <c:v>43344</c:v>
                </c:pt>
                <c:pt idx="54">
                  <c:v>43313</c:v>
                </c:pt>
                <c:pt idx="55">
                  <c:v>43282</c:v>
                </c:pt>
                <c:pt idx="56">
                  <c:v>43252</c:v>
                </c:pt>
                <c:pt idx="57">
                  <c:v>43221</c:v>
                </c:pt>
                <c:pt idx="58">
                  <c:v>43191</c:v>
                </c:pt>
                <c:pt idx="59">
                  <c:v>43160</c:v>
                </c:pt>
              </c:numCache>
            </c:numRef>
          </c:cat>
          <c:val>
            <c:numRef>
              <c:f>'5F'!$C$5:$C$64</c:f>
              <c:numCache>
                <c:formatCode>"$"#,##0.00_);\("$"#,##0.00\)</c:formatCode>
                <c:ptCount val="60"/>
                <c:pt idx="0">
                  <c:v>15.45</c:v>
                </c:pt>
                <c:pt idx="1">
                  <c:v>14.95</c:v>
                </c:pt>
                <c:pt idx="2">
                  <c:v>13.97</c:v>
                </c:pt>
                <c:pt idx="3">
                  <c:v>14.34</c:v>
                </c:pt>
                <c:pt idx="4">
                  <c:v>14.95</c:v>
                </c:pt>
                <c:pt idx="5">
                  <c:v>14.95</c:v>
                </c:pt>
                <c:pt idx="6">
                  <c:v>14.34</c:v>
                </c:pt>
                <c:pt idx="7">
                  <c:v>15.38</c:v>
                </c:pt>
                <c:pt idx="8">
                  <c:v>14.95</c:v>
                </c:pt>
                <c:pt idx="9">
                  <c:v>15.38</c:v>
                </c:pt>
                <c:pt idx="10">
                  <c:v>13.97</c:v>
                </c:pt>
                <c:pt idx="11">
                  <c:v>13.48</c:v>
                </c:pt>
                <c:pt idx="12">
                  <c:v>13.48</c:v>
                </c:pt>
                <c:pt idx="13">
                  <c:v>13.97</c:v>
                </c:pt>
                <c:pt idx="14">
                  <c:v>13.11</c:v>
                </c:pt>
                <c:pt idx="15">
                  <c:v>13.72</c:v>
                </c:pt>
                <c:pt idx="16">
                  <c:v>14.28</c:v>
                </c:pt>
                <c:pt idx="17">
                  <c:v>14.34</c:v>
                </c:pt>
                <c:pt idx="18">
                  <c:v>14.34</c:v>
                </c:pt>
                <c:pt idx="19">
                  <c:v>15.45</c:v>
                </c:pt>
                <c:pt idx="20">
                  <c:v>16.55</c:v>
                </c:pt>
                <c:pt idx="21">
                  <c:v>16.55</c:v>
                </c:pt>
                <c:pt idx="22">
                  <c:v>13.85</c:v>
                </c:pt>
                <c:pt idx="23">
                  <c:v>12.49</c:v>
                </c:pt>
                <c:pt idx="24">
                  <c:v>14.03</c:v>
                </c:pt>
                <c:pt idx="25">
                  <c:v>13.85</c:v>
                </c:pt>
                <c:pt idx="26">
                  <c:v>14.28</c:v>
                </c:pt>
                <c:pt idx="27">
                  <c:v>14.34</c:v>
                </c:pt>
                <c:pt idx="28">
                  <c:v>14.34</c:v>
                </c:pt>
                <c:pt idx="29">
                  <c:v>14.46</c:v>
                </c:pt>
                <c:pt idx="30">
                  <c:v>14.95</c:v>
                </c:pt>
                <c:pt idx="31">
                  <c:v>14.95</c:v>
                </c:pt>
                <c:pt idx="32">
                  <c:v>14.95</c:v>
                </c:pt>
                <c:pt idx="33">
                  <c:v>14.95</c:v>
                </c:pt>
                <c:pt idx="34">
                  <c:v>14.95</c:v>
                </c:pt>
                <c:pt idx="35">
                  <c:v>14.09</c:v>
                </c:pt>
                <c:pt idx="36">
                  <c:v>14.95</c:v>
                </c:pt>
                <c:pt idx="37">
                  <c:v>15.57</c:v>
                </c:pt>
                <c:pt idx="38">
                  <c:v>16.059999999999999</c:v>
                </c:pt>
                <c:pt idx="39">
                  <c:v>17.420000000000002</c:v>
                </c:pt>
                <c:pt idx="40">
                  <c:v>17.54</c:v>
                </c:pt>
                <c:pt idx="41">
                  <c:v>17.54</c:v>
                </c:pt>
                <c:pt idx="42">
                  <c:v>18.77</c:v>
                </c:pt>
                <c:pt idx="43">
                  <c:v>17.66</c:v>
                </c:pt>
                <c:pt idx="44">
                  <c:v>18.149999999999999</c:v>
                </c:pt>
                <c:pt idx="45">
                  <c:v>17.54</c:v>
                </c:pt>
                <c:pt idx="46">
                  <c:v>18.149999999999999</c:v>
                </c:pt>
                <c:pt idx="47">
                  <c:v>18.149999999999999</c:v>
                </c:pt>
                <c:pt idx="48">
                  <c:v>18.77</c:v>
                </c:pt>
                <c:pt idx="49">
                  <c:v>18.77</c:v>
                </c:pt>
                <c:pt idx="50">
                  <c:v>18.03</c:v>
                </c:pt>
                <c:pt idx="51">
                  <c:v>18.03</c:v>
                </c:pt>
                <c:pt idx="52">
                  <c:v>18.03</c:v>
                </c:pt>
                <c:pt idx="53">
                  <c:v>18.03</c:v>
                </c:pt>
                <c:pt idx="54">
                  <c:v>18.03</c:v>
                </c:pt>
                <c:pt idx="55">
                  <c:v>18.03</c:v>
                </c:pt>
                <c:pt idx="56">
                  <c:v>18.77</c:v>
                </c:pt>
                <c:pt idx="57">
                  <c:v>17.54</c:v>
                </c:pt>
                <c:pt idx="58">
                  <c:v>16.059999999999999</c:v>
                </c:pt>
                <c:pt idx="59">
                  <c:v>16.55</c:v>
                </c:pt>
              </c:numCache>
            </c:numRef>
          </c:val>
          <c:smooth val="0"/>
          <c:extLst>
            <c:ext xmlns:c16="http://schemas.microsoft.com/office/drawing/2014/chart" uri="{C3380CC4-5D6E-409C-BE32-E72D297353CC}">
              <c16:uniqueId val="{00000001-F437-4991-A956-E464FE507040}"/>
            </c:ext>
          </c:extLst>
        </c:ser>
        <c:dLbls>
          <c:showLegendKey val="0"/>
          <c:showVal val="0"/>
          <c:showCatName val="0"/>
          <c:showSerName val="0"/>
          <c:showPercent val="0"/>
          <c:showBubbleSize val="0"/>
        </c:dLbls>
        <c:marker val="1"/>
        <c:smooth val="0"/>
        <c:axId val="753162304"/>
        <c:axId val="753167712"/>
      </c:lineChart>
      <c:dateAx>
        <c:axId val="309875983"/>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92623"/>
        <c:crosses val="autoZero"/>
        <c:auto val="1"/>
        <c:lblOffset val="100"/>
        <c:baseTimeUnit val="months"/>
        <c:majorUnit val="4"/>
        <c:minorUnit val="5"/>
      </c:dateAx>
      <c:valAx>
        <c:axId val="309892623"/>
        <c:scaling>
          <c:orientation val="minMax"/>
        </c:scaling>
        <c:delete val="0"/>
        <c:axPos val="l"/>
        <c:majorGridlines>
          <c:spPr>
            <a:ln w="9525" cap="flat" cmpd="sng" algn="ctr">
              <a:solidFill>
                <a:schemeClr val="bg1">
                  <a:alpha val="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309875983"/>
        <c:crosses val="autoZero"/>
        <c:crossBetween val="between"/>
      </c:valAx>
      <c:valAx>
        <c:axId val="753167712"/>
        <c:scaling>
          <c:orientation val="minMax"/>
        </c:scaling>
        <c:delete val="0"/>
        <c:axPos val="r"/>
        <c:numFmt formatCode="&quot;$&quot;#,##0.00_);\(&quot;$&quot;#,##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3162304"/>
        <c:crosses val="max"/>
        <c:crossBetween val="between"/>
      </c:valAx>
      <c:catAx>
        <c:axId val="753162304"/>
        <c:scaling>
          <c:orientation val="minMax"/>
        </c:scaling>
        <c:delete val="1"/>
        <c:axPos val="b"/>
        <c:numFmt formatCode="General" sourceLinked="1"/>
        <c:majorTickMark val="out"/>
        <c:minorTickMark val="none"/>
        <c:tickLblPos val="nextTo"/>
        <c:crossAx val="753167712"/>
        <c:crosses val="autoZero"/>
        <c:auto val="1"/>
        <c:lblAlgn val="ctr"/>
        <c:lblOffset val="100"/>
        <c:tickLblSkip val="1"/>
        <c:tickMarkSkip val="1"/>
        <c:noMultiLvlLbl val="0"/>
      </c:catAx>
      <c:spPr>
        <a:noFill/>
        <a:ln>
          <a:noFill/>
        </a:ln>
        <a:effectLst/>
      </c:spPr>
    </c:plotArea>
    <c:legend>
      <c:legendPos val="t"/>
      <c:layout>
        <c:manualLayout>
          <c:xMode val="edge"/>
          <c:yMode val="edge"/>
          <c:x val="0.33009906293374847"/>
          <c:y val="7.2156862745098041E-2"/>
          <c:w val="0.33980187413250307"/>
          <c:h val="5.353169677319746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a:solidFill>
            <a:schemeClr val="tx1">
              <a:lumMod val="65000"/>
              <a:lumOff val="3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111111111111112E-2"/>
          <c:y val="2.9569892473118281E-2"/>
          <c:w val="0.98888888888888893"/>
          <c:h val="0.94086021505376349"/>
        </c:manualLayout>
      </c:layout>
      <c:barChart>
        <c:barDir val="bar"/>
        <c:grouping val="clustered"/>
        <c:varyColors val="0"/>
        <c:ser>
          <c:idx val="0"/>
          <c:order val="0"/>
          <c:spPr>
            <a:solidFill>
              <a:srgbClr val="A2AE74"/>
            </a:solidFill>
            <a:ln>
              <a:noFill/>
            </a:ln>
            <a:effectLst/>
          </c:spPr>
          <c:invertIfNegative val="0"/>
          <c:dLbls>
            <c:dLbl>
              <c:idx val="0"/>
              <c:dLblPos val="inBase"/>
              <c:showLegendKey val="0"/>
              <c:showVal val="0"/>
              <c:showCatName val="1"/>
              <c:showSerName val="0"/>
              <c:showPercent val="0"/>
              <c:showBubbleSize val="0"/>
              <c:extLst>
                <c:ext xmlns:c15="http://schemas.microsoft.com/office/drawing/2012/chart" uri="{CE6537A1-D6FC-4f65-9D91-7224C49458BB}">
                  <c15:layout>
                    <c:manualLayout>
                      <c:w val="0.6650238353564718"/>
                      <c:h val="0.11995544078181174"/>
                    </c:manualLayout>
                  </c15:layout>
                </c:ext>
                <c:ext xmlns:c16="http://schemas.microsoft.com/office/drawing/2014/chart" uri="{C3380CC4-5D6E-409C-BE32-E72D297353CC}">
                  <c16:uniqueId val="{00000000-C91D-4B39-A46B-148ED3FD4E76}"/>
                </c:ext>
              </c:extLst>
            </c:dLbl>
            <c:dLbl>
              <c:idx val="1"/>
              <c:dLblPos val="inBase"/>
              <c:showLegendKey val="0"/>
              <c:showVal val="0"/>
              <c:showCatName val="1"/>
              <c:showSerName val="0"/>
              <c:showPercent val="0"/>
              <c:showBubbleSize val="0"/>
              <c:extLst>
                <c:ext xmlns:c15="http://schemas.microsoft.com/office/drawing/2012/chart" uri="{CE6537A1-D6FC-4f65-9D91-7224C49458BB}">
                  <c15:layout>
                    <c:manualLayout>
                      <c:w val="0.60025706649327271"/>
                      <c:h val="0.17233803924289198"/>
                    </c:manualLayout>
                  </c15:layout>
                </c:ext>
                <c:ext xmlns:c16="http://schemas.microsoft.com/office/drawing/2014/chart" uri="{C3380CC4-5D6E-409C-BE32-E72D297353CC}">
                  <c16:uniqueId val="{00000001-C91D-4B39-A46B-148ED3FD4E76}"/>
                </c:ext>
              </c:extLst>
            </c:dLbl>
            <c:dLbl>
              <c:idx val="2"/>
              <c:spPr>
                <a:noFill/>
                <a:ln>
                  <a:noFill/>
                </a:ln>
                <a:effectLst/>
              </c:spPr>
              <c:txPr>
                <a:bodyPr rot="0" spcFirstLastPara="1" vertOverflow="ellipsis" vert="horz" wrap="square" lIns="38100" tIns="19050" rIns="38100" bIns="19050" anchor="ctr" anchorCtr="0">
                  <a:no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5069117423667022"/>
                    </c:manualLayout>
                  </c15:layout>
                </c:ext>
                <c:ext xmlns:c16="http://schemas.microsoft.com/office/drawing/2014/chart" uri="{C3380CC4-5D6E-409C-BE32-E72D297353CC}">
                  <c16:uniqueId val="{00000002-C91D-4B39-A46B-148ED3FD4E76}"/>
                </c:ext>
              </c:extLst>
            </c:dLbl>
            <c:dLbl>
              <c:idx val="3"/>
              <c:dLblPos val="inBase"/>
              <c:showLegendKey val="0"/>
              <c:showVal val="0"/>
              <c:showCatName val="1"/>
              <c:showSerName val="0"/>
              <c:showPercent val="0"/>
              <c:showBubbleSize val="0"/>
              <c:extLst>
                <c:ext xmlns:c15="http://schemas.microsoft.com/office/drawing/2012/chart" uri="{CE6537A1-D6FC-4f65-9D91-7224C49458BB}">
                  <c15:layout>
                    <c:manualLayout>
                      <c:w val="0.97226970811611846"/>
                      <c:h val="0.11995544078181174"/>
                    </c:manualLayout>
                  </c15:layout>
                </c:ext>
                <c:ext xmlns:c16="http://schemas.microsoft.com/office/drawing/2014/chart" uri="{C3380CC4-5D6E-409C-BE32-E72D297353CC}">
                  <c16:uniqueId val="{00000003-C91D-4B39-A46B-148ED3FD4E76}"/>
                </c:ext>
              </c:extLst>
            </c:dLbl>
            <c:dLbl>
              <c:idx val="4"/>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22472023899944302"/>
                    </c:manualLayout>
                  </c15:layout>
                </c:ext>
                <c:ext xmlns:c16="http://schemas.microsoft.com/office/drawing/2014/chart" uri="{C3380CC4-5D6E-409C-BE32-E72D297353CC}">
                  <c16:uniqueId val="{00000004-C91D-4B39-A46B-148ED3FD4E76}"/>
                </c:ext>
              </c:extLst>
            </c:dLbl>
            <c:dLbl>
              <c:idx val="5"/>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7233803924289198"/>
                    </c:manualLayout>
                  </c15:layout>
                </c:ext>
                <c:ext xmlns:c16="http://schemas.microsoft.com/office/drawing/2014/chart" uri="{C3380CC4-5D6E-409C-BE32-E72D297353CC}">
                  <c16:uniqueId val="{00000005-C91D-4B39-A46B-148ED3FD4E76}"/>
                </c:ext>
              </c:extLst>
            </c:dLbl>
            <c:dLbl>
              <c:idx val="6"/>
              <c:dLblPos val="inBase"/>
              <c:showLegendKey val="0"/>
              <c:showVal val="0"/>
              <c:showCatName val="1"/>
              <c:showSerName val="0"/>
              <c:showPercent val="0"/>
              <c:showBubbleSize val="0"/>
              <c:extLst>
                <c:ext xmlns:c15="http://schemas.microsoft.com/office/drawing/2012/chart" uri="{CE6537A1-D6FC-4f65-9D91-7224C49458BB}">
                  <c15:layout>
                    <c:manualLayout>
                      <c:w val="0.9722458916615947"/>
                      <c:h val="0.11995544078181174"/>
                    </c:manualLayout>
                  </c15:layout>
                </c:ext>
                <c:ext xmlns:c16="http://schemas.microsoft.com/office/drawing/2014/chart" uri="{C3380CC4-5D6E-409C-BE32-E72D297353CC}">
                  <c16:uniqueId val="{00000006-C91D-4B39-A46B-148ED3FD4E76}"/>
                </c:ext>
              </c:extLst>
            </c:dLbl>
            <c:dLbl>
              <c:idx val="7"/>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0.11995544078181174"/>
                    </c:manualLayout>
                  </c15:layout>
                </c:ext>
                <c:ext xmlns:c16="http://schemas.microsoft.com/office/drawing/2014/chart" uri="{C3380CC4-5D6E-409C-BE32-E72D297353CC}">
                  <c16:uniqueId val="{00000007-C91D-4B39-A46B-148ED3FD4E76}"/>
                </c:ext>
              </c:extLst>
            </c:dLbl>
            <c:dLbl>
              <c:idx val="8"/>
              <c:dLblPos val="inBase"/>
              <c:showLegendKey val="0"/>
              <c:showVal val="0"/>
              <c:showCatName val="1"/>
              <c:showSerName val="0"/>
              <c:showPercent val="0"/>
              <c:showBubbleSize val="0"/>
              <c:extLst>
                <c:ext xmlns:c15="http://schemas.microsoft.com/office/drawing/2012/chart" uri="{CE6537A1-D6FC-4f65-9D91-7224C49458BB}">
                  <c15:layout>
                    <c:manualLayout>
                      <c:w val="0.97448577250371426"/>
                      <c:h val="6.7573241025260716E-2"/>
                    </c:manualLayout>
                  </c15:layout>
                </c:ext>
                <c:ext xmlns:c16="http://schemas.microsoft.com/office/drawing/2014/chart" uri="{C3380CC4-5D6E-409C-BE32-E72D297353CC}">
                  <c16:uniqueId val="{00000008-C91D-4B39-A46B-148ED3FD4E76}"/>
                </c:ext>
              </c:extLst>
            </c:dLbl>
            <c:dLbl>
              <c:idx val="9"/>
              <c:dLblPos val="inBase"/>
              <c:showLegendKey val="0"/>
              <c:showVal val="0"/>
              <c:showCatName val="1"/>
              <c:showSerName val="0"/>
              <c:showPercent val="0"/>
              <c:showBubbleSize val="0"/>
              <c:extLst>
                <c:ext xmlns:c15="http://schemas.microsoft.com/office/drawing/2012/chart" uri="{CE6537A1-D6FC-4f65-9D91-7224C49458BB}">
                  <c15:layout>
                    <c:manualLayout>
                      <c:w val="0.93150841325707023"/>
                      <c:h val="0.17233803924289198"/>
                    </c:manualLayout>
                  </c15:layout>
                </c:ext>
                <c:ext xmlns:c16="http://schemas.microsoft.com/office/drawing/2014/chart" uri="{C3380CC4-5D6E-409C-BE32-E72D297353CC}">
                  <c16:uniqueId val="{00000009-C91D-4B39-A46B-148ED3FD4E76}"/>
                </c:ext>
              </c:extLst>
            </c:dLbl>
            <c:spPr>
              <a:noFill/>
              <a:ln>
                <a:noFill/>
              </a:ln>
              <a:effectLst/>
            </c:spPr>
            <c:txPr>
              <a:bodyPr rot="0" spcFirstLastPara="1" vertOverflow="ellipsis" vert="horz" wrap="square" lIns="38100" tIns="19050" rIns="38100" bIns="19050" anchor="ctr" anchorCtr="0">
                <a:spAutoFit/>
              </a:bodyPr>
              <a:lstStyle/>
              <a:p>
                <a:pPr algn="l">
                  <a:defRPr sz="900" b="0"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'5F'!$F$5:$F$14</c:f>
              <c:strCache>
                <c:ptCount val="10"/>
                <c:pt idx="0">
                  <c:v>National Heritage Academies</c:v>
                </c:pt>
                <c:pt idx="1">
                  <c:v>Sub Teacher Source Texas</c:v>
                </c:pt>
                <c:pt idx="2">
                  <c:v>Catholic Diocese of Lansing</c:v>
                </c:pt>
                <c:pt idx="3">
                  <c:v>Ece Subhub</c:v>
                </c:pt>
                <c:pt idx="4">
                  <c:v>Ess</c:v>
                </c:pt>
                <c:pt idx="5">
                  <c:v>Archdiocese of Detroit</c:v>
                </c:pt>
                <c:pt idx="6">
                  <c:v>Edustaff</c:v>
                </c:pt>
                <c:pt idx="7">
                  <c:v>Ess Midwest</c:v>
                </c:pt>
                <c:pt idx="8">
                  <c:v>Choice Schools.Com</c:v>
                </c:pt>
                <c:pt idx="9">
                  <c:v>Superior Employment Services</c:v>
                </c:pt>
              </c:strCache>
            </c:strRef>
          </c:cat>
          <c:val>
            <c:numRef>
              <c:f>'5F'!$G$5:$G$14</c:f>
              <c:numCache>
                <c:formatCode>#,##0</c:formatCode>
                <c:ptCount val="10"/>
                <c:pt idx="0">
                  <c:v>171</c:v>
                </c:pt>
                <c:pt idx="1">
                  <c:v>53</c:v>
                </c:pt>
                <c:pt idx="2">
                  <c:v>41</c:v>
                </c:pt>
                <c:pt idx="3">
                  <c:v>32</c:v>
                </c:pt>
                <c:pt idx="4">
                  <c:v>31</c:v>
                </c:pt>
                <c:pt idx="5">
                  <c:v>27</c:v>
                </c:pt>
                <c:pt idx="6">
                  <c:v>18</c:v>
                </c:pt>
                <c:pt idx="7">
                  <c:v>17</c:v>
                </c:pt>
                <c:pt idx="8">
                  <c:v>14</c:v>
                </c:pt>
                <c:pt idx="9">
                  <c:v>13</c:v>
                </c:pt>
              </c:numCache>
            </c:numRef>
          </c:val>
          <c:extLst>
            <c:ext xmlns:c16="http://schemas.microsoft.com/office/drawing/2014/chart" uri="{C3380CC4-5D6E-409C-BE32-E72D297353CC}">
              <c16:uniqueId val="{0000000A-C91D-4B39-A46B-148ED3FD4E76}"/>
            </c:ext>
          </c:extLst>
        </c:ser>
        <c:dLbls>
          <c:dLblPos val="inBase"/>
          <c:showLegendKey val="0"/>
          <c:showVal val="1"/>
          <c:showCatName val="0"/>
          <c:showSerName val="0"/>
          <c:showPercent val="0"/>
          <c:showBubbleSize val="0"/>
        </c:dLbls>
        <c:gapWidth val="30"/>
        <c:axId val="753163136"/>
        <c:axId val="753169376"/>
      </c:barChart>
      <c:catAx>
        <c:axId val="753163136"/>
        <c:scaling>
          <c:orientation val="maxMin"/>
        </c:scaling>
        <c:delete val="1"/>
        <c:axPos val="l"/>
        <c:numFmt formatCode="General" sourceLinked="1"/>
        <c:majorTickMark val="none"/>
        <c:minorTickMark val="none"/>
        <c:tickLblPos val="nextTo"/>
        <c:crossAx val="753169376"/>
        <c:crosses val="autoZero"/>
        <c:auto val="1"/>
        <c:lblAlgn val="ctr"/>
        <c:lblOffset val="100"/>
        <c:noMultiLvlLbl val="0"/>
      </c:catAx>
      <c:valAx>
        <c:axId val="753169376"/>
        <c:scaling>
          <c:orientation val="minMax"/>
        </c:scaling>
        <c:delete val="1"/>
        <c:axPos val="t"/>
        <c:numFmt formatCode="#,##0" sourceLinked="1"/>
        <c:majorTickMark val="none"/>
        <c:minorTickMark val="none"/>
        <c:tickLblPos val="nextTo"/>
        <c:crossAx val="75316313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567653398634925E-2"/>
          <c:y val="1.2657154467575402E-2"/>
          <c:w val="0.94104867986415153"/>
          <c:h val="0.98352353279278426"/>
        </c:manualLayout>
      </c:layout>
      <c:radarChart>
        <c:radarStyle val="marker"/>
        <c:varyColors val="0"/>
        <c:ser>
          <c:idx val="0"/>
          <c:order val="0"/>
          <c:spPr>
            <a:ln w="28575" cap="rnd">
              <a:solidFill>
                <a:srgbClr val="D45D00"/>
              </a:solidFill>
              <a:round/>
            </a:ln>
            <a:effectLst/>
          </c:spPr>
          <c:marker>
            <c:symbol val="none"/>
          </c:marker>
          <c:dPt>
            <c:idx val="0"/>
            <c:marker>
              <c:symbol val="none"/>
            </c:marker>
            <c:bubble3D val="0"/>
            <c:extLst>
              <c:ext xmlns:c16="http://schemas.microsoft.com/office/drawing/2014/chart" uri="{C3380CC4-5D6E-409C-BE32-E72D297353CC}">
                <c16:uniqueId val="{00000000-9272-4C7E-B5A9-615FCB956A55}"/>
              </c:ext>
            </c:extLst>
          </c:dPt>
          <c:dLbls>
            <c:dLbl>
              <c:idx val="0"/>
              <c:layout>
                <c:manualLayout>
                  <c:x val="-0.13598878956752622"/>
                  <c:y val="1.9851239520580634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31551320847420278"/>
                      <c:h val="0.22378706880422308"/>
                    </c:manualLayout>
                  </c15:layout>
                </c:ext>
                <c:ext xmlns:c16="http://schemas.microsoft.com/office/drawing/2014/chart" uri="{C3380CC4-5D6E-409C-BE32-E72D297353CC}">
                  <c16:uniqueId val="{00000000-9272-4C7E-B5A9-615FCB956A55}"/>
                </c:ext>
              </c:extLst>
            </c:dLbl>
            <c:dLbl>
              <c:idx val="1"/>
              <c:layout>
                <c:manualLayout>
                  <c:x val="-1.8885466900746576E-3"/>
                  <c:y val="-0.113843790295711"/>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5307871587543934"/>
                      <c:h val="0.29367187648517851"/>
                    </c:manualLayout>
                  </c15:layout>
                </c:ext>
                <c:ext xmlns:c16="http://schemas.microsoft.com/office/drawing/2014/chart" uri="{C3380CC4-5D6E-409C-BE32-E72D297353CC}">
                  <c16:uniqueId val="{00000001-9272-4C7E-B5A9-615FCB956A55}"/>
                </c:ext>
              </c:extLst>
            </c:dLbl>
            <c:dLbl>
              <c:idx val="2"/>
              <c:layout>
                <c:manualLayout>
                  <c:x val="6.4217029585415919E-2"/>
                  <c:y val="-1.8702073748083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994472405303799"/>
                      <c:h val="0.25512829501742013"/>
                    </c:manualLayout>
                  </c15:layout>
                </c:ext>
                <c:ext xmlns:c16="http://schemas.microsoft.com/office/drawing/2014/chart" uri="{C3380CC4-5D6E-409C-BE32-E72D297353CC}">
                  <c16:uniqueId val="{00000002-9272-4C7E-B5A9-615FCB956A55}"/>
                </c:ext>
              </c:extLst>
            </c:dLbl>
            <c:dLbl>
              <c:idx val="3"/>
              <c:layout>
                <c:manualLayout>
                  <c:x val="-1.7865844601309168E-2"/>
                  <c:y val="3.4944020398172036E-2"/>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3229936345635527"/>
                      <c:h val="0.2300104356456843"/>
                    </c:manualLayout>
                  </c15:layout>
                </c:ext>
                <c:ext xmlns:c16="http://schemas.microsoft.com/office/drawing/2014/chart" uri="{C3380CC4-5D6E-409C-BE32-E72D297353CC}">
                  <c16:uniqueId val="{00000001-314E-4258-B741-30CA4CCDC998}"/>
                </c:ext>
              </c:extLst>
            </c:dLbl>
            <c:dLbl>
              <c:idx val="4"/>
              <c:layout>
                <c:manualLayout>
                  <c:x val="-3.1764124148738776E-2"/>
                  <c:y val="-4.4227363991316783E-3"/>
                </c:manualLayout>
              </c:layout>
              <c:showLegendKey val="0"/>
              <c:showVal val="1"/>
              <c:showCatName val="1"/>
              <c:showSerName val="0"/>
              <c:showPercent val="0"/>
              <c:showBubbleSize val="0"/>
              <c:separator>
</c:separator>
              <c:extLst>
                <c:ext xmlns:c15="http://schemas.microsoft.com/office/drawing/2012/chart" uri="{CE6537A1-D6FC-4f65-9D91-7224C49458BB}">
                  <c15:layout>
                    <c:manualLayout>
                      <c:w val="0.26773211771143846"/>
                      <c:h val="0.1646403354745023"/>
                    </c:manualLayout>
                  </c15:layout>
                </c:ext>
                <c:ext xmlns:c16="http://schemas.microsoft.com/office/drawing/2014/chart" uri="{C3380CC4-5D6E-409C-BE32-E72D297353CC}">
                  <c16:uniqueId val="{00000004-9272-4C7E-B5A9-615FCB956A55}"/>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'2C'!$B$8:$B$12</c:f>
              <c:numCache>
                <c:formatCode>0%</c:formatCode>
                <c:ptCount val="5"/>
                <c:pt idx="0">
                  <c:v>0.97</c:v>
                </c:pt>
                <c:pt idx="1">
                  <c:v>0.96</c:v>
                </c:pt>
                <c:pt idx="2">
                  <c:v>0.93</c:v>
                </c:pt>
                <c:pt idx="3">
                  <c:v>0.93</c:v>
                </c:pt>
                <c:pt idx="4">
                  <c:v>0.92</c:v>
                </c:pt>
              </c:numCache>
            </c:numRef>
          </c:val>
          <c:extLst>
            <c:ext xmlns:c16="http://schemas.microsoft.com/office/drawing/2014/chart" uri="{C3380CC4-5D6E-409C-BE32-E72D297353CC}">
              <c16:uniqueId val="{00000005-9272-4C7E-B5A9-615FCB956A55}"/>
            </c:ext>
          </c:extLst>
        </c:ser>
        <c:dLbls>
          <c:showLegendKey val="0"/>
          <c:showVal val="1"/>
          <c:showCatName val="0"/>
          <c:showSerName val="0"/>
          <c:showPercent val="0"/>
          <c:showBubbleSize val="0"/>
        </c:dLbls>
        <c:axId val="1769733823"/>
        <c:axId val="1769731743"/>
      </c:radarChart>
      <c:catAx>
        <c:axId val="1769733823"/>
        <c:scaling>
          <c:orientation val="minMax"/>
        </c:scaling>
        <c:delete val="1"/>
        <c:axPos val="b"/>
        <c:numFmt formatCode="General" sourceLinked="1"/>
        <c:majorTickMark val="none"/>
        <c:minorTickMark val="none"/>
        <c:tickLblPos val="nextTo"/>
        <c:crossAx val="1769731743"/>
        <c:crosses val="autoZero"/>
        <c:auto val="1"/>
        <c:lblAlgn val="ctr"/>
        <c:lblOffset val="100"/>
        <c:noMultiLvlLbl val="0"/>
      </c:catAx>
      <c:valAx>
        <c:axId val="1769731743"/>
        <c:scaling>
          <c:orientation val="minMax"/>
        </c:scaling>
        <c:delete val="1"/>
        <c:axPos val="l"/>
        <c:majorGridlines>
          <c:spPr>
            <a:ln w="12700" cap="rnd" cmpd="dbl" algn="ctr">
              <a:solidFill>
                <a:schemeClr val="bg1">
                  <a:lumMod val="75000"/>
                  <a:alpha val="28000"/>
                </a:schemeClr>
              </a:solidFill>
              <a:prstDash val="solid"/>
              <a:round/>
              <a:extLst>
                <a:ext uri="{C807C97D-BFC1-408E-A445-0C87EB9F89A2}">
                  <ask:lineSketchStyleProps xmlns:ask="http://schemas.microsoft.com/office/drawing/2018/sketchyshapes">
                    <ask:type>
                      <ask:lineSketchNone/>
                    </ask:type>
                  </ask:lineSketchStyleProps>
                </a:ext>
              </a:extLst>
            </a:ln>
            <a:effectLst/>
          </c:spPr>
        </c:majorGridlines>
        <c:numFmt formatCode="0%" sourceLinked="1"/>
        <c:majorTickMark val="none"/>
        <c:minorTickMark val="none"/>
        <c:tickLblPos val="nextTo"/>
        <c:crossAx val="176973382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262217222847145E-2"/>
          <c:y val="9.8310276004164643E-2"/>
          <c:w val="0.92815048118985122"/>
          <c:h val="0.78102740689229866"/>
        </c:manualLayout>
      </c:layout>
      <c:barChart>
        <c:barDir val="col"/>
        <c:grouping val="clustered"/>
        <c:varyColors val="0"/>
        <c:ser>
          <c:idx val="0"/>
          <c:order val="0"/>
          <c:spPr>
            <a:solidFill>
              <a:srgbClr val="003E5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003E5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'2C'!$A$8:$A$12</c:f>
              <c:strCache>
                <c:ptCount val="5"/>
                <c:pt idx="0">
                  <c:v>Kindergarten Teacher</c:v>
                </c:pt>
                <c:pt idx="1">
                  <c:v>Self-Enrichment Teacher</c:v>
                </c:pt>
                <c:pt idx="2">
                  <c:v>Bank Teller</c:v>
                </c:pt>
                <c:pt idx="3">
                  <c:v>Psychiatric Aide</c:v>
                </c:pt>
                <c:pt idx="4">
                  <c:v>Office Clerk</c:v>
                </c:pt>
              </c:strCache>
            </c:strRef>
          </c:cat>
          <c:val>
            <c:numRef>
              <c:f>'2C'!$C$8:$C$12</c:f>
              <c:numCache>
                <c:formatCode>"$"#,##0.00_);\("$"#,##0.00\)</c:formatCode>
                <c:ptCount val="5"/>
                <c:pt idx="0">
                  <c:v>29.86</c:v>
                </c:pt>
                <c:pt idx="1">
                  <c:v>20.97</c:v>
                </c:pt>
                <c:pt idx="2">
                  <c:v>17.53</c:v>
                </c:pt>
                <c:pt idx="3">
                  <c:v>21.4</c:v>
                </c:pt>
                <c:pt idx="4">
                  <c:v>18.64</c:v>
                </c:pt>
              </c:numCache>
            </c:numRef>
          </c:val>
          <c:extLst>
            <c:ext xmlns:c16="http://schemas.microsoft.com/office/drawing/2014/chart" uri="{C3380CC4-5D6E-409C-BE32-E72D297353CC}">
              <c16:uniqueId val="{00000000-D07B-4E3B-B118-41EC6A6D8E3A}"/>
            </c:ext>
          </c:extLst>
        </c:ser>
        <c:dLbls>
          <c:showLegendKey val="0"/>
          <c:showVal val="0"/>
          <c:showCatName val="0"/>
          <c:showSerName val="0"/>
          <c:showPercent val="0"/>
          <c:showBubbleSize val="0"/>
        </c:dLbls>
        <c:gapWidth val="55"/>
        <c:overlap val="-27"/>
        <c:axId val="488940608"/>
        <c:axId val="244253824"/>
      </c:barChart>
      <c:catAx>
        <c:axId val="4889406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4253824"/>
        <c:crosses val="autoZero"/>
        <c:auto val="1"/>
        <c:lblAlgn val="ctr"/>
        <c:lblOffset val="100"/>
        <c:noMultiLvlLbl val="0"/>
      </c:catAx>
      <c:valAx>
        <c:axId val="244253824"/>
        <c:scaling>
          <c:orientation val="minMax"/>
        </c:scaling>
        <c:delete val="0"/>
        <c:axPos val="l"/>
        <c:majorGridlines>
          <c:spPr>
            <a:ln w="9525" cap="flat" cmpd="sng" algn="ctr">
              <a:solidFill>
                <a:schemeClr val="tx1">
                  <a:lumMod val="15000"/>
                  <a:lumOff val="85000"/>
                </a:schemeClr>
              </a:solidFill>
              <a:round/>
            </a:ln>
            <a:effectLst/>
          </c:spPr>
        </c:majorGridlines>
        <c:numFmt formatCode="&quot;$&quot;#,##0.00_);\(&quot;$&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88940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334470691163605"/>
          <c:y val="0.1630052980454986"/>
          <c:w val="0.51140507436570426"/>
          <c:h val="0.80627651377487231"/>
        </c:manualLayout>
      </c:layout>
      <c:barChart>
        <c:barDir val="bar"/>
        <c:grouping val="clustered"/>
        <c:varyColors val="0"/>
        <c:ser>
          <c:idx val="0"/>
          <c:order val="0"/>
          <c:spPr>
            <a:solidFill>
              <a:srgbClr val="D45D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'2C'!$Y$29:$Y$34</c:f>
              <c:strCache>
                <c:ptCount val="6"/>
                <c:pt idx="0">
                  <c:v>Lead Teacher</c:v>
                </c:pt>
                <c:pt idx="1">
                  <c:v>Self-Enrichment Teachers</c:v>
                </c:pt>
                <c:pt idx="2">
                  <c:v>Psychiatric Aides</c:v>
                </c:pt>
                <c:pt idx="3">
                  <c:v>Kindergarten Teacher</c:v>
                </c:pt>
                <c:pt idx="4">
                  <c:v>Office Clerk</c:v>
                </c:pt>
                <c:pt idx="5">
                  <c:v>Bank Tellers</c:v>
                </c:pt>
              </c:strCache>
            </c:strRef>
          </c:cat>
          <c:val>
            <c:numRef>
              <c:f>'2C'!$Z$29:$Z$34</c:f>
              <c:numCache>
                <c:formatCode>"$"#,##0.00</c:formatCode>
                <c:ptCount val="6"/>
                <c:pt idx="0">
                  <c:v>4.0828951922999988</c:v>
                </c:pt>
                <c:pt idx="1">
                  <c:v>5.3347907593999988</c:v>
                </c:pt>
                <c:pt idx="2">
                  <c:v>6.2263105114000012</c:v>
                </c:pt>
                <c:pt idx="3">
                  <c:v>6.329204626100001</c:v>
                </c:pt>
                <c:pt idx="4">
                  <c:v>6.99</c:v>
                </c:pt>
                <c:pt idx="5">
                  <c:v>7.34</c:v>
                </c:pt>
              </c:numCache>
            </c:numRef>
          </c:val>
          <c:extLst>
            <c:ext xmlns:c16="http://schemas.microsoft.com/office/drawing/2014/chart" uri="{C3380CC4-5D6E-409C-BE32-E72D297353CC}">
              <c16:uniqueId val="{00000006-CC99-4625-AF15-275D83D3EEDA}"/>
            </c:ext>
          </c:extLst>
        </c:ser>
        <c:dLbls>
          <c:showLegendKey val="0"/>
          <c:showVal val="0"/>
          <c:showCatName val="0"/>
          <c:showSerName val="0"/>
          <c:showPercent val="0"/>
          <c:showBubbleSize val="0"/>
        </c:dLbls>
        <c:gapWidth val="40"/>
        <c:axId val="2053732352"/>
        <c:axId val="2021862368"/>
      </c:barChart>
      <c:catAx>
        <c:axId val="2053732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1862368"/>
        <c:crosses val="autoZero"/>
        <c:auto val="1"/>
        <c:lblAlgn val="ctr"/>
        <c:lblOffset val="100"/>
        <c:noMultiLvlLbl val="0"/>
      </c:catAx>
      <c:valAx>
        <c:axId val="2021862368"/>
        <c:scaling>
          <c:orientation val="minMax"/>
        </c:scaling>
        <c:delete val="1"/>
        <c:axPos val="b"/>
        <c:numFmt formatCode="&quot;$&quot;#,##0.00" sourceLinked="1"/>
        <c:majorTickMark val="none"/>
        <c:minorTickMark val="none"/>
        <c:tickLblPos val="nextTo"/>
        <c:crossAx val="20537323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7619729850841813"/>
          <c:y val="2.4968789013732832E-2"/>
          <c:w val="0.51810758206572372"/>
          <c:h val="0.90642946317103623"/>
        </c:manualLayout>
      </c:layout>
      <c:barChart>
        <c:barDir val="bar"/>
        <c:grouping val="stacked"/>
        <c:varyColors val="0"/>
        <c:ser>
          <c:idx val="0"/>
          <c:order val="0"/>
          <c:tx>
            <c:strRef>
              <c:f>'2E'!$A$5:$B$5</c:f>
              <c:strCache>
                <c:ptCount val="1"/>
                <c:pt idx="0">
                  <c:v>Previous</c:v>
                </c:pt>
              </c:strCache>
            </c:strRef>
          </c:tx>
          <c:spPr>
            <a:solidFill>
              <a:srgbClr val="A2AE7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'2E'!$B$7:$B$16</c:f>
              <c:numCache>
                <c:formatCode>0.0%</c:formatCode>
                <c:ptCount val="10"/>
                <c:pt idx="0">
                  <c:v>0.2071919191919192</c:v>
                </c:pt>
                <c:pt idx="1">
                  <c:v>0.13486868686868686</c:v>
                </c:pt>
                <c:pt idx="2">
                  <c:v>8.4808080808080805E-2</c:v>
                </c:pt>
                <c:pt idx="3">
                  <c:v>7.5717171717171711E-2</c:v>
                </c:pt>
                <c:pt idx="4">
                  <c:v>6.8080808080808075E-2</c:v>
                </c:pt>
                <c:pt idx="5">
                  <c:v>6.7111111111111107E-2</c:v>
                </c:pt>
                <c:pt idx="6">
                  <c:v>6.6343434343434343E-2</c:v>
                </c:pt>
                <c:pt idx="7">
                  <c:v>6.5696969696969698E-2</c:v>
                </c:pt>
                <c:pt idx="8">
                  <c:v>6.4686868686868682E-2</c:v>
                </c:pt>
                <c:pt idx="9">
                  <c:v>5.8989898989898988E-2</c:v>
                </c:pt>
              </c:numCache>
            </c:numRef>
          </c:val>
          <c:extLst>
            <c:ext xmlns:c16="http://schemas.microsoft.com/office/drawing/2014/chart" uri="{C3380CC4-5D6E-409C-BE32-E72D297353CC}">
              <c16:uniqueId val="{00000000-5054-484E-9424-6C4313391516}"/>
            </c:ext>
          </c:extLst>
        </c:ser>
        <c:ser>
          <c:idx val="1"/>
          <c:order val="1"/>
          <c:spPr>
            <a:solidFill>
              <a:schemeClr val="accent2"/>
            </a:solidFill>
            <a:ln>
              <a:noFill/>
            </a:ln>
            <a:effectLst/>
          </c:spPr>
          <c:invertIfNegative val="0"/>
          <c:dLbls>
            <c:delete val="1"/>
          </c:dLbls>
          <c:cat>
            <c:strRef>
              <c:f>'2E'!$A$7:$A$16</c:f>
              <c:strCache>
                <c:ptCount val="10"/>
                <c:pt idx="0">
                  <c:v>Preschool Teachers</c:v>
                </c:pt>
                <c:pt idx="1">
                  <c:v>Teaching Assistants</c:v>
                </c:pt>
                <c:pt idx="2">
                  <c:v>Postsecondary Teachers</c:v>
                </c:pt>
                <c:pt idx="3">
                  <c:v>Social and Human Service Assistants</c:v>
                </c:pt>
                <c:pt idx="4">
                  <c:v>Secondary School Teachers</c:v>
                </c:pt>
                <c:pt idx="5">
                  <c:v>Elementary School Teachers</c:v>
                </c:pt>
                <c:pt idx="6">
                  <c:v>Childcare Workers</c:v>
                </c:pt>
                <c:pt idx="7">
                  <c:v>Managers</c:v>
                </c:pt>
                <c:pt idx="8">
                  <c:v>Retail Salespersons</c:v>
                </c:pt>
                <c:pt idx="9">
                  <c:v>Secretaries and Admin. Assistants</c:v>
                </c:pt>
              </c:strCache>
            </c:strRef>
          </c:cat>
          <c:val>
            <c:numRef>
              <c:f>'[1]Gain &amp; Drain'!$C$1:$C$10</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5054-484E-9424-6C4313391516}"/>
            </c:ext>
          </c:extLst>
        </c:ser>
        <c:dLbls>
          <c:dLblPos val="inEnd"/>
          <c:showLegendKey val="0"/>
          <c:showVal val="1"/>
          <c:showCatName val="0"/>
          <c:showSerName val="0"/>
          <c:showPercent val="0"/>
          <c:showBubbleSize val="0"/>
        </c:dLbls>
        <c:gapWidth val="55"/>
        <c:overlap val="100"/>
        <c:axId val="1972498496"/>
        <c:axId val="1972497664"/>
      </c:barChart>
      <c:catAx>
        <c:axId val="1972498496"/>
        <c:scaling>
          <c:orientation val="maxMin"/>
        </c:scaling>
        <c:delete val="0"/>
        <c:axPos val="l"/>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rgbClr val="60605B"/>
                </a:solidFill>
                <a:latin typeface="Arial" panose="020B0604020202020204" pitchFamily="34" charset="0"/>
                <a:ea typeface="+mn-ea"/>
                <a:cs typeface="Arial" panose="020B0604020202020204" pitchFamily="34" charset="0"/>
              </a:defRPr>
            </a:pPr>
            <a:endParaRPr lang="en-US"/>
          </a:p>
        </c:txPr>
        <c:crossAx val="1972497664"/>
        <c:crosses val="max"/>
        <c:auto val="1"/>
        <c:lblAlgn val="ctr"/>
        <c:lblOffset val="100"/>
        <c:noMultiLvlLbl val="0"/>
      </c:catAx>
      <c:valAx>
        <c:axId val="1972497664"/>
        <c:scaling>
          <c:orientation val="maxMin"/>
        </c:scaling>
        <c:delete val="0"/>
        <c:axPos val="t"/>
        <c:majorGridlines>
          <c:spPr>
            <a:ln w="9525" cap="flat" cmpd="sng" algn="ctr">
              <a:solidFill>
                <a:schemeClr val="tx1">
                  <a:alpha val="5000"/>
                </a:schemeClr>
              </a:solidFill>
              <a:round/>
            </a:ln>
            <a:effectLst/>
          </c:spPr>
        </c:majorGridlines>
        <c:numFmt formatCode="0%" sourceLinked="0"/>
        <c:majorTickMark val="none"/>
        <c:minorTickMark val="none"/>
        <c:tickLblPos val="high"/>
        <c:spPr>
          <a:noFill/>
          <a:ln>
            <a:noFill/>
          </a:ln>
          <a:effectLst/>
        </c:spPr>
        <c:txPr>
          <a:bodyPr rot="-60000000" spcFirstLastPara="1" vertOverflow="ellipsis" vert="horz" wrap="square" anchor="ctr" anchorCtr="1"/>
          <a:lstStyle/>
          <a:p>
            <a:pPr>
              <a:defRPr sz="1000" b="0" i="0" u="none" strike="noStrike" kern="1200" baseline="0">
                <a:solidFill>
                  <a:schemeClr val="bg1">
                    <a:lumMod val="75000"/>
                  </a:schemeClr>
                </a:solidFill>
                <a:latin typeface="Arial" panose="020B0604020202020204" pitchFamily="34" charset="0"/>
                <a:ea typeface="+mn-ea"/>
                <a:cs typeface="Arial" panose="020B0604020202020204" pitchFamily="34" charset="0"/>
              </a:defRPr>
            </a:pPr>
            <a:endParaRPr lang="en-US"/>
          </a:p>
        </c:txPr>
        <c:crossAx val="197249849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5.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hyperlink" Target="#'Main Menu'!A1"/></Relationships>
</file>

<file path=xl/drawings/_rels/drawing1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13.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hyperlink" Target="#'Main Menu'!A1"/></Relationships>
</file>

<file path=xl/drawings/_rels/drawing1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1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hyperlink" Target="#'Main Menu'!A1"/><Relationship Id="rId4" Type="http://schemas.openxmlformats.org/officeDocument/2006/relationships/chart" Target="../charts/chart22.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hyperlink" Target="#'Main Menu'!A1"/></Relationships>
</file>

<file path=xl/drawings/_rels/drawing1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hyperlink" Target="#'Main Menu'!A1"/></Relationships>
</file>

<file path=xl/drawings/_rels/drawing2.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0.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hyperlink" Target="#'Main Menu'!A1"/></Relationships>
</file>

<file path=xl/drawings/_rels/drawing21.xml.rels><?xml version="1.0" encoding="UTF-8" standalone="yes"?>
<Relationships xmlns="http://schemas.openxmlformats.org/package/2006/relationships"><Relationship Id="rId1" Type="http://schemas.openxmlformats.org/officeDocument/2006/relationships/hyperlink" Target="#'Main Menu'!A1"/></Relationships>
</file>

<file path=xl/drawings/_rels/drawing22.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hyperlink" Target="#'Main Menu'!A1"/></Relationships>
</file>

<file path=xl/drawings/_rels/drawing23.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33.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5.xml"/><Relationship Id="rId2" Type="http://schemas.openxmlformats.org/officeDocument/2006/relationships/chart" Target="../charts/chart34.xml"/><Relationship Id="rId1" Type="http://schemas.openxmlformats.org/officeDocument/2006/relationships/hyperlink" Target="#'Main Menu'!A1"/><Relationship Id="rId4" Type="http://schemas.openxmlformats.org/officeDocument/2006/relationships/chart" Target="../charts/chart36.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hyperlink" Target="#'Main Menu'!A1"/></Relationships>
</file>

<file path=xl/drawings/_rels/drawing28.xml.rels><?xml version="1.0" encoding="UTF-8" standalone="yes"?>
<Relationships xmlns="http://schemas.openxmlformats.org/package/2006/relationships"><Relationship Id="rId3" Type="http://schemas.openxmlformats.org/officeDocument/2006/relationships/chart" Target="../charts/chart40.xml"/><Relationship Id="rId2" Type="http://schemas.openxmlformats.org/officeDocument/2006/relationships/chart" Target="../charts/chart39.xml"/><Relationship Id="rId1" Type="http://schemas.openxmlformats.org/officeDocument/2006/relationships/hyperlink" Target="#'Main Menu'!A1"/></Relationships>
</file>

<file path=xl/drawings/_rels/drawing29.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hyperlink" Target="#'Main Menu'!A1"/></Relationships>
</file>

<file path=xl/drawings/_rels/drawing3.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0.xml.rels><?xml version="1.0" encoding="UTF-8" standalone="yes"?>
<Relationships xmlns="http://schemas.openxmlformats.org/package/2006/relationships"><Relationship Id="rId1" Type="http://schemas.openxmlformats.org/officeDocument/2006/relationships/hyperlink" Target="#'Main Menu'!A1"/></Relationships>
</file>

<file path=xl/drawings/_rels/drawing31.xml.rels><?xml version="1.0" encoding="UTF-8" standalone="yes"?>
<Relationships xmlns="http://schemas.openxmlformats.org/package/2006/relationships"><Relationship Id="rId3" Type="http://schemas.openxmlformats.org/officeDocument/2006/relationships/chart" Target="../charts/chart44.xml"/><Relationship Id="rId2" Type="http://schemas.openxmlformats.org/officeDocument/2006/relationships/chart" Target="../charts/chart43.xml"/><Relationship Id="rId1" Type="http://schemas.openxmlformats.org/officeDocument/2006/relationships/hyperlink" Target="#'Main Menu'!A1"/></Relationships>
</file>

<file path=xl/drawings/_rels/drawing32.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47.xml"/></Relationships>
</file>

<file path=xl/drawings/_rels/drawing33.xml.rels><?xml version="1.0" encoding="UTF-8" standalone="yes"?>
<Relationships xmlns="http://schemas.openxmlformats.org/package/2006/relationships"><Relationship Id="rId3" Type="http://schemas.openxmlformats.org/officeDocument/2006/relationships/chart" Target="../charts/chart49.xml"/><Relationship Id="rId2" Type="http://schemas.openxmlformats.org/officeDocument/2006/relationships/chart" Target="../charts/chart48.xml"/><Relationship Id="rId1" Type="http://schemas.openxmlformats.org/officeDocument/2006/relationships/hyperlink" Target="#'Main Menu'!A1"/><Relationship Id="rId4" Type="http://schemas.openxmlformats.org/officeDocument/2006/relationships/chart" Target="../charts/chart50.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2.xml"/><Relationship Id="rId2" Type="http://schemas.openxmlformats.org/officeDocument/2006/relationships/chart" Target="../charts/chart51.xml"/><Relationship Id="rId1" Type="http://schemas.openxmlformats.org/officeDocument/2006/relationships/hyperlink" Target="#'Main Menu'!A1"/></Relationships>
</file>

<file path=xl/drawings/_rels/drawing37.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hyperlink" Target="#'Main Menu'!A1"/></Relationships>
</file>

<file path=xl/drawings/_rels/drawing38.xml.rels><?xml version="1.0" encoding="UTF-8" standalone="yes"?>
<Relationships xmlns="http://schemas.openxmlformats.org/package/2006/relationships"><Relationship Id="rId3" Type="http://schemas.openxmlformats.org/officeDocument/2006/relationships/chart" Target="../charts/chart56.xml"/><Relationship Id="rId2" Type="http://schemas.openxmlformats.org/officeDocument/2006/relationships/chart" Target="../charts/chart55.xml"/><Relationship Id="rId1" Type="http://schemas.openxmlformats.org/officeDocument/2006/relationships/hyperlink" Target="#'Main Menu'!A1"/></Relationships>
</file>

<file path=xl/drawings/_rels/drawing39.xml.rels><?xml version="1.0" encoding="UTF-8" standalone="yes"?>
<Relationships xmlns="http://schemas.openxmlformats.org/package/2006/relationships"><Relationship Id="rId1" Type="http://schemas.openxmlformats.org/officeDocument/2006/relationships/hyperlink" Target="#'Main Menu'!A1"/></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Main Menu'!A1"/></Relationships>
</file>

<file path=xl/drawings/_rels/drawing5.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Main Menu'!A1"/><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hyperlink" Target="#'Main Menu'!A1"/><Relationship Id="rId4" Type="http://schemas.openxmlformats.org/officeDocument/2006/relationships/chart" Target="../charts/chart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hyperlink" Target="#'Main Menu'!A1"/></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hyperlink" Target="#'Main Menu'!A1"/></Relationships>
</file>

<file path=xl/drawings/drawing1.xml><?xml version="1.0" encoding="utf-8"?>
<xdr:wsDr xmlns:xdr="http://schemas.openxmlformats.org/drawingml/2006/spreadsheetDrawing" xmlns:a="http://schemas.openxmlformats.org/drawingml/2006/main">
  <xdr:twoCellAnchor editAs="oneCell">
    <xdr:from>
      <xdr:col>2</xdr:col>
      <xdr:colOff>413108</xdr:colOff>
      <xdr:row>42</xdr:row>
      <xdr:rowOff>52795</xdr:rowOff>
    </xdr:from>
    <xdr:to>
      <xdr:col>2</xdr:col>
      <xdr:colOff>3343275</xdr:colOff>
      <xdr:row>45</xdr:row>
      <xdr:rowOff>28575</xdr:rowOff>
    </xdr:to>
    <xdr:pic>
      <xdr:nvPicPr>
        <xdr:cNvPr id="4" name="Picture 3">
          <a:extLst>
            <a:ext uri="{FF2B5EF4-FFF2-40B4-BE49-F238E27FC236}">
              <a16:creationId xmlns:a16="http://schemas.microsoft.com/office/drawing/2014/main" id="{4E582F73-7EEB-ED58-2FB3-723B702C9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89508" y="7729945"/>
          <a:ext cx="2930167" cy="518705"/>
        </a:xfrm>
        <a:prstGeom prst="rect">
          <a:avLst/>
        </a:prstGeom>
        <a:solidFill>
          <a:schemeClr val="bg1"/>
        </a:solidFill>
      </xdr:spPr>
    </xdr:pic>
    <xdr:clientData/>
  </xdr:twoCellAnchor>
  <xdr:twoCellAnchor>
    <xdr:from>
      <xdr:col>0</xdr:col>
      <xdr:colOff>83820</xdr:colOff>
      <xdr:row>42</xdr:row>
      <xdr:rowOff>15240</xdr:rowOff>
    </xdr:from>
    <xdr:to>
      <xdr:col>2</xdr:col>
      <xdr:colOff>365760</xdr:colOff>
      <xdr:row>46</xdr:row>
      <xdr:rowOff>7620</xdr:rowOff>
    </xdr:to>
    <xdr:pic>
      <xdr:nvPicPr>
        <xdr:cNvPr id="2" name="Picture 27">
          <a:extLst>
            <a:ext uri="{FF2B5EF4-FFF2-40B4-BE49-F238E27FC236}">
              <a16:creationId xmlns:a16="http://schemas.microsoft.com/office/drawing/2014/main" id="{490ECFD1-6469-2A9E-7F30-2A54A9D520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820" y="7498080"/>
          <a:ext cx="200406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476249</xdr:colOff>
      <xdr:row>46</xdr:row>
      <xdr:rowOff>57150</xdr:rowOff>
    </xdr:from>
    <xdr:to>
      <xdr:col>2</xdr:col>
      <xdr:colOff>3095624</xdr:colOff>
      <xdr:row>49</xdr:row>
      <xdr:rowOff>114300</xdr:rowOff>
    </xdr:to>
    <xdr:sp macro="" textlink="">
      <xdr:nvSpPr>
        <xdr:cNvPr id="3" name="TextBox 2">
          <a:extLst>
            <a:ext uri="{FF2B5EF4-FFF2-40B4-BE49-F238E27FC236}">
              <a16:creationId xmlns:a16="http://schemas.microsoft.com/office/drawing/2014/main" id="{1A3CD0E2-5832-59AC-9223-9AA49603EBB4}"/>
            </a:ext>
          </a:extLst>
        </xdr:cNvPr>
        <xdr:cNvSpPr txBox="1"/>
      </xdr:nvSpPr>
      <xdr:spPr>
        <a:xfrm>
          <a:off x="476249" y="8458200"/>
          <a:ext cx="4295775" cy="600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latin typeface="Arial" panose="020B0604020202020204" pitchFamily="34" charset="0"/>
              <a:cs typeface="Arial" panose="020B0604020202020204" pitchFamily="34" charset="0"/>
            </a:rPr>
            <a:t>This publication was made possible by Grant Number 90TP0117-01-00 from the Office of Child Care, Administration for Children and Families, U.S. Department of Health and Human Services.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ABD7B0B-AC19-41B4-8004-45BB00554E3C}"/>
            </a:ext>
          </a:extLst>
        </xdr:cNvPr>
        <xdr:cNvSpPr/>
      </xdr:nvSpPr>
      <xdr:spPr>
        <a:xfrm>
          <a:off x="1" y="22224"/>
          <a:ext cx="144779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243998</xdr:colOff>
      <xdr:row>17</xdr:row>
      <xdr:rowOff>161924</xdr:rowOff>
    </xdr:from>
    <xdr:to>
      <xdr:col>16</xdr:col>
      <xdr:colOff>97155</xdr:colOff>
      <xdr:row>40</xdr:row>
      <xdr:rowOff>53339</xdr:rowOff>
    </xdr:to>
    <xdr:grpSp>
      <xdr:nvGrpSpPr>
        <xdr:cNvPr id="4" name="Group 3">
          <a:extLst>
            <a:ext uri="{FF2B5EF4-FFF2-40B4-BE49-F238E27FC236}">
              <a16:creationId xmlns:a16="http://schemas.microsoft.com/office/drawing/2014/main" id="{F144BC5A-E82F-E28B-B798-E3C4F89CEC96}"/>
            </a:ext>
          </a:extLst>
        </xdr:cNvPr>
        <xdr:cNvGrpSpPr/>
      </xdr:nvGrpSpPr>
      <xdr:grpSpPr>
        <a:xfrm>
          <a:off x="2920523" y="3543299"/>
          <a:ext cx="10721182" cy="4053840"/>
          <a:chOff x="3432968" y="3571874"/>
          <a:chExt cx="9730582" cy="4048125"/>
        </a:xfrm>
      </xdr:grpSpPr>
      <xdr:graphicFrame macro="">
        <xdr:nvGraphicFramePr>
          <xdr:cNvPr id="11" name="Chart 10">
            <a:extLst>
              <a:ext uri="{FF2B5EF4-FFF2-40B4-BE49-F238E27FC236}">
                <a16:creationId xmlns:a16="http://schemas.microsoft.com/office/drawing/2014/main" id="{1CB7D4CA-85E8-44CA-A0D2-8BD45293D51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 name="TextBox 2">
            <a:extLst>
              <a:ext uri="{FF2B5EF4-FFF2-40B4-BE49-F238E27FC236}">
                <a16:creationId xmlns:a16="http://schemas.microsoft.com/office/drawing/2014/main" id="{49B7C0A4-0923-4252-89C9-AF98750AC132}"/>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Michigan</a:t>
            </a:r>
          </a:p>
        </xdr:txBody>
      </xdr:sp>
    </xdr:grpSp>
    <xdr:clientData/>
  </xdr:twoCellAnchor>
  <xdr:twoCellAnchor>
    <xdr:from>
      <xdr:col>0</xdr:col>
      <xdr:colOff>419101</xdr:colOff>
      <xdr:row>65</xdr:row>
      <xdr:rowOff>38100</xdr:rowOff>
    </xdr:from>
    <xdr:to>
      <xdr:col>2</xdr:col>
      <xdr:colOff>381001</xdr:colOff>
      <xdr:row>67</xdr:row>
      <xdr:rowOff>57150</xdr:rowOff>
    </xdr:to>
    <xdr:sp macro="" textlink="">
      <xdr:nvSpPr>
        <xdr:cNvPr id="5" name="TextBox 4">
          <a:extLst>
            <a:ext uri="{FF2B5EF4-FFF2-40B4-BE49-F238E27FC236}">
              <a16:creationId xmlns:a16="http://schemas.microsoft.com/office/drawing/2014/main" id="{289060E1-0625-4670-B940-D88ACB87C0C1}"/>
            </a:ext>
          </a:extLst>
        </xdr:cNvPr>
        <xdr:cNvSpPr txBox="1"/>
      </xdr:nvSpPr>
      <xdr:spPr>
        <a:xfrm>
          <a:off x="419101" y="12106275"/>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76743</xdr:colOff>
      <xdr:row>1</xdr:row>
      <xdr:rowOff>144780</xdr:rowOff>
    </xdr:from>
    <xdr:to>
      <xdr:col>12</xdr:col>
      <xdr:colOff>254998</xdr:colOff>
      <xdr:row>16</xdr:row>
      <xdr:rowOff>124151</xdr:rowOff>
    </xdr:to>
    <xdr:grpSp>
      <xdr:nvGrpSpPr>
        <xdr:cNvPr id="7" name="Group 6">
          <a:extLst>
            <a:ext uri="{FF2B5EF4-FFF2-40B4-BE49-F238E27FC236}">
              <a16:creationId xmlns:a16="http://schemas.microsoft.com/office/drawing/2014/main" id="{800BABBC-BD4B-4523-BFAE-A0D2FD7BF692}"/>
            </a:ext>
          </a:extLst>
        </xdr:cNvPr>
        <xdr:cNvGrpSpPr/>
      </xdr:nvGrpSpPr>
      <xdr:grpSpPr>
        <a:xfrm>
          <a:off x="9106443" y="440055"/>
          <a:ext cx="2645230" cy="2884496"/>
          <a:chOff x="9441723" y="327660"/>
          <a:chExt cx="2723335" cy="2783531"/>
        </a:xfrm>
      </xdr:grpSpPr>
      <xdr:graphicFrame macro="">
        <xdr:nvGraphicFramePr>
          <xdr:cNvPr id="12" name="Chart 11">
            <a:extLst>
              <a:ext uri="{FF2B5EF4-FFF2-40B4-BE49-F238E27FC236}">
                <a16:creationId xmlns:a16="http://schemas.microsoft.com/office/drawing/2014/main" id="{A307CEA3-2D8E-48FA-8F3E-21102D0FC18B}"/>
              </a:ext>
            </a:extLst>
          </xdr:cNvPr>
          <xdr:cNvGraphicFramePr>
            <a:graphicFrameLocks/>
          </xdr:cNvGraphicFramePr>
        </xdr:nvGraphicFramePr>
        <xdr:xfrm>
          <a:off x="9441723" y="69260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6" name="TextBox 5">
            <a:extLst>
              <a:ext uri="{FF2B5EF4-FFF2-40B4-BE49-F238E27FC236}">
                <a16:creationId xmlns:a16="http://schemas.microsoft.com/office/drawing/2014/main" id="{33889A27-5263-458B-825C-1EAD0BF86545}"/>
              </a:ext>
            </a:extLst>
          </xdr:cNvPr>
          <xdr:cNvSpPr txBox="1"/>
        </xdr:nvSpPr>
        <xdr:spPr>
          <a:xfrm>
            <a:off x="9514590" y="32766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Michigan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9713B3C-13B6-483A-97F7-0ABEE7902B14}"/>
            </a:ext>
          </a:extLst>
        </xdr:cNvPr>
        <xdr:cNvSpPr/>
      </xdr:nvSpPr>
      <xdr:spPr>
        <a:xfrm>
          <a:off x="1" y="22225"/>
          <a:ext cx="1438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104775</xdr:colOff>
      <xdr:row>4</xdr:row>
      <xdr:rowOff>28576</xdr:rowOff>
    </xdr:from>
    <xdr:to>
      <xdr:col>10</xdr:col>
      <xdr:colOff>266700</xdr:colOff>
      <xdr:row>12</xdr:row>
      <xdr:rowOff>47626</xdr:rowOff>
    </xdr:to>
    <xdr:sp macro="" textlink="">
      <xdr:nvSpPr>
        <xdr:cNvPr id="7" name="TextBox 6">
          <a:extLst>
            <a:ext uri="{FF2B5EF4-FFF2-40B4-BE49-F238E27FC236}">
              <a16:creationId xmlns:a16="http://schemas.microsoft.com/office/drawing/2014/main" id="{C0983C82-102A-8CC0-A1EA-DD4452B06DE0}"/>
            </a:ext>
          </a:extLst>
        </xdr:cNvPr>
        <xdr:cNvSpPr txBox="1"/>
      </xdr:nvSpPr>
      <xdr:spPr>
        <a:xfrm>
          <a:off x="4305300" y="876301"/>
          <a:ext cx="39528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twoCellAnchor>
    <xdr:from>
      <xdr:col>0</xdr:col>
      <xdr:colOff>133349</xdr:colOff>
      <xdr:row>83</xdr:row>
      <xdr:rowOff>38100</xdr:rowOff>
    </xdr:from>
    <xdr:to>
      <xdr:col>5</xdr:col>
      <xdr:colOff>590549</xdr:colOff>
      <xdr:row>86</xdr:row>
      <xdr:rowOff>142875</xdr:rowOff>
    </xdr:to>
    <xdr:sp macro="" textlink="">
      <xdr:nvSpPr>
        <xdr:cNvPr id="9" name="TextBox 8">
          <a:extLst>
            <a:ext uri="{FF2B5EF4-FFF2-40B4-BE49-F238E27FC236}">
              <a16:creationId xmlns:a16="http://schemas.microsoft.com/office/drawing/2014/main" id="{3D190127-57EE-4500-95FE-A74259CE3760}"/>
            </a:ext>
          </a:extLst>
        </xdr:cNvPr>
        <xdr:cNvSpPr txBox="1"/>
      </xdr:nvSpPr>
      <xdr:spPr>
        <a:xfrm>
          <a:off x="133349" y="15363825"/>
          <a:ext cx="52673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3B543BA-F4A0-48A8-901E-3A947D421E63}"/>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7620</xdr:colOff>
      <xdr:row>9</xdr:row>
      <xdr:rowOff>9524</xdr:rowOff>
    </xdr:from>
    <xdr:to>
      <xdr:col>14</xdr:col>
      <xdr:colOff>7620</xdr:colOff>
      <xdr:row>13</xdr:row>
      <xdr:rowOff>7619</xdr:rowOff>
    </xdr:to>
    <xdr:sp macro="" textlink="">
      <xdr:nvSpPr>
        <xdr:cNvPr id="4" name="TextBox 3">
          <a:extLst>
            <a:ext uri="{FF2B5EF4-FFF2-40B4-BE49-F238E27FC236}">
              <a16:creationId xmlns:a16="http://schemas.microsoft.com/office/drawing/2014/main" id="{4BD4E7DF-BED4-458F-972C-A7B2E5509EEA}"/>
            </a:ext>
          </a:extLst>
        </xdr:cNvPr>
        <xdr:cNvSpPr txBox="1"/>
      </xdr:nvSpPr>
      <xdr:spPr>
        <a:xfrm>
          <a:off x="7620" y="1861184"/>
          <a:ext cx="10805160" cy="699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173355</xdr:rowOff>
    </xdr:from>
    <xdr:to>
      <xdr:col>19</xdr:col>
      <xdr:colOff>0</xdr:colOff>
      <xdr:row>26</xdr:row>
      <xdr:rowOff>68580</xdr:rowOff>
    </xdr:to>
    <xdr:sp macro="" textlink="">
      <xdr:nvSpPr>
        <xdr:cNvPr id="5" name="TextBox 4">
          <a:extLst>
            <a:ext uri="{FF2B5EF4-FFF2-40B4-BE49-F238E27FC236}">
              <a16:creationId xmlns:a16="http://schemas.microsoft.com/office/drawing/2014/main" id="{622A1C32-830E-4720-9F55-C17722655B31}"/>
            </a:ext>
          </a:extLst>
        </xdr:cNvPr>
        <xdr:cNvSpPr txBox="1"/>
      </xdr:nvSpPr>
      <xdr:spPr>
        <a:xfrm>
          <a:off x="0" y="4356735"/>
          <a:ext cx="13685520" cy="5962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4BAAC690-035C-4161-8A96-0762A6E73D17}"/>
            </a:ext>
          </a:extLst>
        </xdr:cNvPr>
        <xdr:cNvSpPr txBox="1"/>
      </xdr:nvSpPr>
      <xdr:spPr>
        <a:xfrm>
          <a:off x="0" y="7353300"/>
          <a:ext cx="123539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327659</xdr:colOff>
      <xdr:row>0</xdr:row>
      <xdr:rowOff>110490</xdr:rowOff>
    </xdr:from>
    <xdr:to>
      <xdr:col>33</xdr:col>
      <xdr:colOff>80010</xdr:colOff>
      <xdr:row>26</xdr:row>
      <xdr:rowOff>34290</xdr:rowOff>
    </xdr:to>
    <xdr:grpSp>
      <xdr:nvGrpSpPr>
        <xdr:cNvPr id="7" name="Group 6">
          <a:extLst>
            <a:ext uri="{FF2B5EF4-FFF2-40B4-BE49-F238E27FC236}">
              <a16:creationId xmlns:a16="http://schemas.microsoft.com/office/drawing/2014/main" id="{A3654A07-8F42-44DE-B49A-B6746E742FFA}"/>
            </a:ext>
          </a:extLst>
        </xdr:cNvPr>
        <xdr:cNvGrpSpPr/>
      </xdr:nvGrpSpPr>
      <xdr:grpSpPr>
        <a:xfrm>
          <a:off x="13681709" y="110490"/>
          <a:ext cx="9944101" cy="4981575"/>
          <a:chOff x="2571749" y="704319"/>
          <a:chExt cx="9877426" cy="4371975"/>
        </a:xfrm>
      </xdr:grpSpPr>
      <xdr:graphicFrame macro="">
        <xdr:nvGraphicFramePr>
          <xdr:cNvPr id="8" name="Chart 7">
            <a:extLst>
              <a:ext uri="{FF2B5EF4-FFF2-40B4-BE49-F238E27FC236}">
                <a16:creationId xmlns:a16="http://schemas.microsoft.com/office/drawing/2014/main" id="{005BD863-1A08-FEA6-FAC2-8F92EC3E9EF8}"/>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CB01BB37-42EF-988C-CADF-10177E7ABB8B}"/>
              </a:ext>
            </a:extLst>
          </xdr:cNvPr>
          <xdr:cNvGrpSpPr/>
        </xdr:nvGrpSpPr>
        <xdr:grpSpPr>
          <a:xfrm>
            <a:off x="3095625" y="3303621"/>
            <a:ext cx="9353550" cy="680630"/>
            <a:chOff x="3095625" y="3303621"/>
            <a:chExt cx="9353550" cy="680630"/>
          </a:xfrm>
        </xdr:grpSpPr>
        <xdr:cxnSp macro="">
          <xdr:nvCxnSpPr>
            <xdr:cNvPr id="10" name="Straight Connector 9">
              <a:extLst>
                <a:ext uri="{FF2B5EF4-FFF2-40B4-BE49-F238E27FC236}">
                  <a16:creationId xmlns:a16="http://schemas.microsoft.com/office/drawing/2014/main" id="{0E6A7A3F-E921-413A-C04F-D07B55A0F412}"/>
                </a:ext>
              </a:extLst>
            </xdr:cNvPr>
            <xdr:cNvCxnSpPr/>
          </xdr:nvCxnSpPr>
          <xdr:spPr>
            <a:xfrm flipV="1">
              <a:off x="3095625" y="395963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CC62DE1D-7AA1-A8C1-87DF-E537647A4FC2}"/>
                </a:ext>
              </a:extLst>
            </xdr:cNvPr>
            <xdr:cNvSpPr txBox="1"/>
          </xdr:nvSpPr>
          <xdr:spPr>
            <a:xfrm>
              <a:off x="10887076" y="3303621"/>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4CF9DC9D-26D3-4A12-B499-65FBE2252E2B}"/>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314325</xdr:colOff>
      <xdr:row>26</xdr:row>
      <xdr:rowOff>85725</xdr:rowOff>
    </xdr:from>
    <xdr:to>
      <xdr:col>33</xdr:col>
      <xdr:colOff>66676</xdr:colOff>
      <xdr:row>53</xdr:row>
      <xdr:rowOff>66675</xdr:rowOff>
    </xdr:to>
    <xdr:grpSp>
      <xdr:nvGrpSpPr>
        <xdr:cNvPr id="15" name="Group 14">
          <a:extLst>
            <a:ext uri="{FF2B5EF4-FFF2-40B4-BE49-F238E27FC236}">
              <a16:creationId xmlns:a16="http://schemas.microsoft.com/office/drawing/2014/main" id="{D640894E-8C9E-4CA1-8265-BB92CC2215AA}"/>
            </a:ext>
          </a:extLst>
        </xdr:cNvPr>
        <xdr:cNvGrpSpPr/>
      </xdr:nvGrpSpPr>
      <xdr:grpSpPr>
        <a:xfrm>
          <a:off x="13668375" y="5143500"/>
          <a:ext cx="9944101" cy="4943475"/>
          <a:chOff x="2571749" y="704319"/>
          <a:chExt cx="9877426" cy="4371975"/>
        </a:xfrm>
      </xdr:grpSpPr>
      <xdr:graphicFrame macro="">
        <xdr:nvGraphicFramePr>
          <xdr:cNvPr id="16" name="Chart 15">
            <a:extLst>
              <a:ext uri="{FF2B5EF4-FFF2-40B4-BE49-F238E27FC236}">
                <a16:creationId xmlns:a16="http://schemas.microsoft.com/office/drawing/2014/main" id="{AF1CD9F2-036F-C980-2AF4-68EE3E5665A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 name="Group 16">
            <a:extLst>
              <a:ext uri="{FF2B5EF4-FFF2-40B4-BE49-F238E27FC236}">
                <a16:creationId xmlns:a16="http://schemas.microsoft.com/office/drawing/2014/main" id="{11A92B3E-3EEB-6D47-EE97-34D9909EB78C}"/>
              </a:ext>
            </a:extLst>
          </xdr:cNvPr>
          <xdr:cNvGrpSpPr/>
        </xdr:nvGrpSpPr>
        <xdr:grpSpPr>
          <a:xfrm>
            <a:off x="3095625" y="3150334"/>
            <a:ext cx="9353550" cy="680630"/>
            <a:chOff x="3095625" y="3150334"/>
            <a:chExt cx="9353550" cy="680630"/>
          </a:xfrm>
        </xdr:grpSpPr>
        <xdr:cxnSp macro="">
          <xdr:nvCxnSpPr>
            <xdr:cNvPr id="18" name="Straight Connector 17">
              <a:extLst>
                <a:ext uri="{FF2B5EF4-FFF2-40B4-BE49-F238E27FC236}">
                  <a16:creationId xmlns:a16="http://schemas.microsoft.com/office/drawing/2014/main" id="{C0303D68-737D-3CAC-F502-67A8065882C4}"/>
                </a:ext>
              </a:extLst>
            </xdr:cNvPr>
            <xdr:cNvCxnSpPr/>
          </xdr:nvCxnSpPr>
          <xdr:spPr>
            <a:xfrm flipV="1">
              <a:off x="3095625" y="3806346"/>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9" name="TextBox 18">
              <a:extLst>
                <a:ext uri="{FF2B5EF4-FFF2-40B4-BE49-F238E27FC236}">
                  <a16:creationId xmlns:a16="http://schemas.microsoft.com/office/drawing/2014/main" id="{F7C00C83-1C15-E30A-6671-73B2B5B13880}"/>
                </a:ext>
              </a:extLst>
            </xdr:cNvPr>
            <xdr:cNvSpPr txBox="1"/>
          </xdr:nvSpPr>
          <xdr:spPr>
            <a:xfrm>
              <a:off x="10887076" y="3150334"/>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678122A-D32A-41F2-9B54-BD390739D0E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12</xdr:row>
      <xdr:rowOff>133350</xdr:rowOff>
    </xdr:from>
    <xdr:to>
      <xdr:col>2</xdr:col>
      <xdr:colOff>723424</xdr:colOff>
      <xdr:row>22</xdr:row>
      <xdr:rowOff>146295</xdr:rowOff>
    </xdr:to>
    <xdr:grpSp>
      <xdr:nvGrpSpPr>
        <xdr:cNvPr id="3" name="Group 2">
          <a:extLst>
            <a:ext uri="{FF2B5EF4-FFF2-40B4-BE49-F238E27FC236}">
              <a16:creationId xmlns:a16="http://schemas.microsoft.com/office/drawing/2014/main" id="{70B339F4-9647-4569-9F66-F1F193F616DF}"/>
            </a:ext>
          </a:extLst>
        </xdr:cNvPr>
        <xdr:cNvGrpSpPr/>
      </xdr:nvGrpSpPr>
      <xdr:grpSpPr>
        <a:xfrm>
          <a:off x="257175" y="26003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FE7C7382-9378-376E-F052-5F7F2F8A9345}"/>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E466EEA7-F964-FA4C-E3AB-CF3C2484537C}"/>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Michigan, 2022</a:t>
            </a:r>
          </a:p>
        </xdr:txBody>
      </xdr:sp>
    </xdr:grpSp>
    <xdr:clientData/>
  </xdr:twoCellAnchor>
  <xdr:twoCellAnchor>
    <xdr:from>
      <xdr:col>4</xdr:col>
      <xdr:colOff>323850</xdr:colOff>
      <xdr:row>12</xdr:row>
      <xdr:rowOff>51443</xdr:rowOff>
    </xdr:from>
    <xdr:to>
      <xdr:col>6</xdr:col>
      <xdr:colOff>637698</xdr:colOff>
      <xdr:row>23</xdr:row>
      <xdr:rowOff>34775</xdr:rowOff>
    </xdr:to>
    <xdr:grpSp>
      <xdr:nvGrpSpPr>
        <xdr:cNvPr id="6" name="Group 5">
          <a:extLst>
            <a:ext uri="{FF2B5EF4-FFF2-40B4-BE49-F238E27FC236}">
              <a16:creationId xmlns:a16="http://schemas.microsoft.com/office/drawing/2014/main" id="{E3F633DE-B666-4519-B7AA-26820E8DE558}"/>
            </a:ext>
          </a:extLst>
        </xdr:cNvPr>
        <xdr:cNvGrpSpPr/>
      </xdr:nvGrpSpPr>
      <xdr:grpSpPr>
        <a:xfrm>
          <a:off x="3790950" y="2518418"/>
          <a:ext cx="2914173" cy="2078832"/>
          <a:chOff x="3943350" y="4299090"/>
          <a:chExt cx="2914173" cy="2073612"/>
        </a:xfrm>
        <a:solidFill>
          <a:schemeClr val="bg1"/>
        </a:solidFill>
      </xdr:grpSpPr>
      <xdr:graphicFrame macro="">
        <xdr:nvGraphicFramePr>
          <xdr:cNvPr id="7" name="Chart 6">
            <a:extLst>
              <a:ext uri="{FF2B5EF4-FFF2-40B4-BE49-F238E27FC236}">
                <a16:creationId xmlns:a16="http://schemas.microsoft.com/office/drawing/2014/main" id="{E07E1D2F-ECBD-1AF2-18E1-FE0D42913B87}"/>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BC0BD84A-1221-1D04-4B46-462BA2E0E670}"/>
              </a:ext>
            </a:extLst>
          </xdr:cNvPr>
          <xdr:cNvSpPr txBox="1"/>
        </xdr:nvSpPr>
        <xdr:spPr>
          <a:xfrm>
            <a:off x="3943350" y="429909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Michigan, 2022</a:t>
            </a:r>
          </a:p>
        </xdr:txBody>
      </xdr:sp>
    </xdr:grpSp>
    <xdr:clientData/>
  </xdr:twoCellAnchor>
  <xdr:twoCellAnchor>
    <xdr:from>
      <xdr:col>8</xdr:col>
      <xdr:colOff>428625</xdr:colOff>
      <xdr:row>12</xdr:row>
      <xdr:rowOff>142875</xdr:rowOff>
    </xdr:from>
    <xdr:to>
      <xdr:col>10</xdr:col>
      <xdr:colOff>266700</xdr:colOff>
      <xdr:row>23</xdr:row>
      <xdr:rowOff>477</xdr:rowOff>
    </xdr:to>
    <xdr:grpSp>
      <xdr:nvGrpSpPr>
        <xdr:cNvPr id="9" name="Group 8">
          <a:extLst>
            <a:ext uri="{FF2B5EF4-FFF2-40B4-BE49-F238E27FC236}">
              <a16:creationId xmlns:a16="http://schemas.microsoft.com/office/drawing/2014/main" id="{AECB8711-BD0A-416D-B170-CA12D675F06A}"/>
            </a:ext>
          </a:extLst>
        </xdr:cNvPr>
        <xdr:cNvGrpSpPr/>
      </xdr:nvGrpSpPr>
      <xdr:grpSpPr>
        <a:xfrm>
          <a:off x="7572375" y="26098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536A0E7-26AA-E058-D85F-56EDF34F1000}"/>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E57A241B-ED26-4166-282A-E75A3F335AD9}"/>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Michigan, 2022</a:t>
            </a:r>
          </a:p>
        </xdr:txBody>
      </xdr:sp>
    </xdr:grpSp>
    <xdr:clientData/>
  </xdr:twoCellAnchor>
  <xdr:twoCellAnchor>
    <xdr:from>
      <xdr:col>12</xdr:col>
      <xdr:colOff>27940</xdr:colOff>
      <xdr:row>7</xdr:row>
      <xdr:rowOff>38100</xdr:rowOff>
    </xdr:from>
    <xdr:to>
      <xdr:col>15</xdr:col>
      <xdr:colOff>76199</xdr:colOff>
      <xdr:row>15</xdr:row>
      <xdr:rowOff>106045</xdr:rowOff>
    </xdr:to>
    <xdr:grpSp>
      <xdr:nvGrpSpPr>
        <xdr:cNvPr id="12" name="Group 11">
          <a:extLst>
            <a:ext uri="{FF2B5EF4-FFF2-40B4-BE49-F238E27FC236}">
              <a16:creationId xmlns:a16="http://schemas.microsoft.com/office/drawing/2014/main" id="{74538F82-00D0-4ECB-A946-C7E93AFE5E64}"/>
            </a:ext>
          </a:extLst>
        </xdr:cNvPr>
        <xdr:cNvGrpSpPr/>
      </xdr:nvGrpSpPr>
      <xdr:grpSpPr>
        <a:xfrm>
          <a:off x="11305540" y="15525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CF0E0C0C-DC54-B156-4835-4287E78DCFD0}"/>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Michigan,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EF392E85-E222-4A45-0A07-AE7B577235FF}"/>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88F701AF-EC8B-5CB4-BD6A-5038BA29CC1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91.4%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C1122A49-7DC4-2688-0554-8E9A24B0F791}"/>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43AFDF52-672D-6FE1-82C2-BDA3857F90FF}"/>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8.6%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765C70BF-CAA7-372E-89E0-86EADAF8F0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AAC06393-72B1-7C0A-E7E0-B849F31A0C8A}"/>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23</xdr:row>
      <xdr:rowOff>95250</xdr:rowOff>
    </xdr:from>
    <xdr:to>
      <xdr:col>2</xdr:col>
      <xdr:colOff>657225</xdr:colOff>
      <xdr:row>26</xdr:row>
      <xdr:rowOff>171450</xdr:rowOff>
    </xdr:to>
    <xdr:sp macro="" textlink="">
      <xdr:nvSpPr>
        <xdr:cNvPr id="20" name="TextBox 19">
          <a:extLst>
            <a:ext uri="{FF2B5EF4-FFF2-40B4-BE49-F238E27FC236}">
              <a16:creationId xmlns:a16="http://schemas.microsoft.com/office/drawing/2014/main" id="{0EDF0F50-CE2F-4344-8E06-A86079757753}"/>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23</xdr:row>
      <xdr:rowOff>133350</xdr:rowOff>
    </xdr:from>
    <xdr:to>
      <xdr:col>6</xdr:col>
      <xdr:colOff>704850</xdr:colOff>
      <xdr:row>27</xdr:row>
      <xdr:rowOff>19050</xdr:rowOff>
    </xdr:to>
    <xdr:sp macro="" textlink="">
      <xdr:nvSpPr>
        <xdr:cNvPr id="21" name="TextBox 20">
          <a:extLst>
            <a:ext uri="{FF2B5EF4-FFF2-40B4-BE49-F238E27FC236}">
              <a16:creationId xmlns:a16="http://schemas.microsoft.com/office/drawing/2014/main" id="{CD150003-80A2-42CD-9A78-4B51EDEC1FA9}"/>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23</xdr:row>
      <xdr:rowOff>123825</xdr:rowOff>
    </xdr:from>
    <xdr:to>
      <xdr:col>10</xdr:col>
      <xdr:colOff>333375</xdr:colOff>
      <xdr:row>27</xdr:row>
      <xdr:rowOff>9525</xdr:rowOff>
    </xdr:to>
    <xdr:sp macro="" textlink="">
      <xdr:nvSpPr>
        <xdr:cNvPr id="22" name="TextBox 21">
          <a:extLst>
            <a:ext uri="{FF2B5EF4-FFF2-40B4-BE49-F238E27FC236}">
              <a16:creationId xmlns:a16="http://schemas.microsoft.com/office/drawing/2014/main" id="{29CB10E1-695D-4413-A079-05B27093EE44}"/>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15</xdr:row>
      <xdr:rowOff>133350</xdr:rowOff>
    </xdr:from>
    <xdr:to>
      <xdr:col>17</xdr:col>
      <xdr:colOff>219075</xdr:colOff>
      <xdr:row>19</xdr:row>
      <xdr:rowOff>19050</xdr:rowOff>
    </xdr:to>
    <xdr:sp macro="" textlink="">
      <xdr:nvSpPr>
        <xdr:cNvPr id="23" name="TextBox 22">
          <a:extLst>
            <a:ext uri="{FF2B5EF4-FFF2-40B4-BE49-F238E27FC236}">
              <a16:creationId xmlns:a16="http://schemas.microsoft.com/office/drawing/2014/main" id="{E7390CAA-265B-4004-9FAB-0FF0D62E2077}"/>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983FB3B-04D7-4293-AD24-54A8D0800DA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AAFDFDCB-F5EC-4A6E-BE40-2003023715C1}"/>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DB18A9A6-E47C-6ACE-EF62-EBA31C5B36E2}"/>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DB01952-0CE0-6A17-709E-A61B13184FF4}"/>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Assistant Teacher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6" name="TextBox 15">
          <a:extLst>
            <a:ext uri="{FF2B5EF4-FFF2-40B4-BE49-F238E27FC236}">
              <a16:creationId xmlns:a16="http://schemas.microsoft.com/office/drawing/2014/main" id="{BD3F40F4-CC5A-49B0-9499-2E6A77AD4E0F}"/>
            </a:ext>
          </a:extLst>
        </xdr:cNvPr>
        <xdr:cNvSpPr txBox="1"/>
      </xdr:nvSpPr>
      <xdr:spPr>
        <a:xfrm>
          <a:off x="2581274" y="122396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17" name="Group 16">
          <a:extLst>
            <a:ext uri="{FF2B5EF4-FFF2-40B4-BE49-F238E27FC236}">
              <a16:creationId xmlns:a16="http://schemas.microsoft.com/office/drawing/2014/main" id="{AAB5E245-4654-B4CC-051C-1F77FDEFF88F}"/>
            </a:ext>
          </a:extLst>
        </xdr:cNvPr>
        <xdr:cNvGrpSpPr/>
      </xdr:nvGrpSpPr>
      <xdr:grpSpPr>
        <a:xfrm>
          <a:off x="11106150" y="519112"/>
          <a:ext cx="6755314" cy="2743200"/>
          <a:chOff x="11340465" y="496252"/>
          <a:chExt cx="10207188" cy="2953703"/>
        </a:xfrm>
      </xdr:grpSpPr>
      <xdr:grpSp>
        <xdr:nvGrpSpPr>
          <xdr:cNvPr id="6" name="Group 5">
            <a:extLst>
              <a:ext uri="{FF2B5EF4-FFF2-40B4-BE49-F238E27FC236}">
                <a16:creationId xmlns:a16="http://schemas.microsoft.com/office/drawing/2014/main" id="{991C6AFD-AC85-4ACC-A4A7-A98ED93014B9}"/>
              </a:ext>
            </a:extLst>
          </xdr:cNvPr>
          <xdr:cNvGrpSpPr/>
        </xdr:nvGrpSpPr>
        <xdr:grpSpPr>
          <a:xfrm>
            <a:off x="11340465" y="496252"/>
            <a:ext cx="10207188" cy="2953703"/>
            <a:chOff x="11182350" y="500062"/>
            <a:chExt cx="10600408" cy="3252788"/>
          </a:xfrm>
        </xdr:grpSpPr>
        <xdr:grpSp>
          <xdr:nvGrpSpPr>
            <xdr:cNvPr id="7" name="Group 6">
              <a:extLst>
                <a:ext uri="{FF2B5EF4-FFF2-40B4-BE49-F238E27FC236}">
                  <a16:creationId xmlns:a16="http://schemas.microsoft.com/office/drawing/2014/main" id="{51E1FBD8-3A35-39DA-7A56-5800D4BC707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0" name="Chart 9">
                <a:extLst>
                  <a:ext uri="{FF2B5EF4-FFF2-40B4-BE49-F238E27FC236}">
                    <a16:creationId xmlns:a16="http://schemas.microsoft.com/office/drawing/2014/main" id="{398833E9-6991-B5F4-E6E3-781593D222F1}"/>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742477FA-6E28-0B5F-BC59-64F30B32B613}"/>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Michigan, 2022</a:t>
                </a:r>
              </a:p>
            </xdr:txBody>
          </xdr:sp>
          <xdr:cxnSp macro="">
            <xdr:nvCxnSpPr>
              <xdr:cNvPr id="12" name="Straight Connector 11">
                <a:extLst>
                  <a:ext uri="{FF2B5EF4-FFF2-40B4-BE49-F238E27FC236}">
                    <a16:creationId xmlns:a16="http://schemas.microsoft.com/office/drawing/2014/main" id="{FA28C2A9-3AA4-6E59-4C41-C8B2197B4FFA}"/>
                  </a:ext>
                </a:extLst>
              </xdr:cNvPr>
              <xdr:cNvCxnSpPr/>
            </xdr:nvCxnSpPr>
            <xdr:spPr>
              <a:xfrm>
                <a:off x="8981520" y="2183430"/>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7187480-AE01-DFA7-D8CC-7034DBD9D492}"/>
                  </a:ext>
                </a:extLst>
              </xdr:cNvPr>
              <xdr:cNvSpPr txBox="1"/>
            </xdr:nvSpPr>
            <xdr:spPr>
              <a:xfrm>
                <a:off x="16199078" y="2164044"/>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$14.09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Assistant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 Michigan</a:t>
                </a:r>
              </a:p>
            </xdr:txBody>
          </xdr:sp>
        </xdr:grpSp>
        <xdr:cxnSp macro="">
          <xdr:nvCxnSpPr>
            <xdr:cNvPr id="8" name="Straight Connector 7">
              <a:extLst>
                <a:ext uri="{FF2B5EF4-FFF2-40B4-BE49-F238E27FC236}">
                  <a16:creationId xmlns:a16="http://schemas.microsoft.com/office/drawing/2014/main" id="{68318B91-4759-F152-0446-17340E624079}"/>
                </a:ext>
              </a:extLst>
            </xdr:cNvPr>
            <xdr:cNvCxnSpPr/>
          </xdr:nvCxnSpPr>
          <xdr:spPr>
            <a:xfrm>
              <a:off x="11744861" y="167759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75771D49-3777-FE90-91AB-9468D7A5266E}"/>
                </a:ext>
              </a:extLst>
            </xdr:cNvPr>
            <xdr:cNvSpPr txBox="1"/>
          </xdr:nvSpPr>
          <xdr:spPr>
            <a:xfrm>
              <a:off x="18953352" y="165705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$21.77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Assistant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 Michigan</a:t>
              </a:r>
            </a:p>
          </xdr:txBody>
        </xdr:sp>
      </xdr:grpSp>
      <xdr:cxnSp macro="">
        <xdr:nvCxnSpPr>
          <xdr:cNvPr id="14" name="Straight Connector 13">
            <a:extLst>
              <a:ext uri="{FF2B5EF4-FFF2-40B4-BE49-F238E27FC236}">
                <a16:creationId xmlns:a16="http://schemas.microsoft.com/office/drawing/2014/main" id="{DD4132B3-C349-4914-93B2-1971597649B7}"/>
              </a:ext>
            </a:extLst>
          </xdr:cNvPr>
          <xdr:cNvCxnSpPr/>
        </xdr:nvCxnSpPr>
        <xdr:spPr>
          <a:xfrm>
            <a:off x="11889105" y="1383585"/>
            <a:ext cx="8278268"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5" name="TextBox 14">
            <a:extLst>
              <a:ext uri="{FF2B5EF4-FFF2-40B4-BE49-F238E27FC236}">
                <a16:creationId xmlns:a16="http://schemas.microsoft.com/office/drawing/2014/main" id="{EDC8A20F-4896-43C0-94D9-154980FE5D10}"/>
              </a:ext>
            </a:extLst>
          </xdr:cNvPr>
          <xdr:cNvSpPr txBox="1"/>
        </xdr:nvSpPr>
        <xdr:spPr>
          <a:xfrm>
            <a:off x="18809988" y="880849"/>
            <a:ext cx="2720115"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$23.95</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Assistant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 Michigan</a:t>
            </a:r>
          </a:p>
        </xdr:txBody>
      </xdr:sp>
    </xdr:grpSp>
    <xdr:clientData/>
  </xdr:twoCellAnchor>
  <xdr:twoCellAnchor>
    <xdr:from>
      <xdr:col>23</xdr:col>
      <xdr:colOff>304800</xdr:colOff>
      <xdr:row>26</xdr:row>
      <xdr:rowOff>133350</xdr:rowOff>
    </xdr:from>
    <xdr:to>
      <xdr:col>28</xdr:col>
      <xdr:colOff>371475</xdr:colOff>
      <xdr:row>37</xdr:row>
      <xdr:rowOff>0</xdr:rowOff>
    </xdr:to>
    <xdr:grpSp>
      <xdr:nvGrpSpPr>
        <xdr:cNvPr id="18" name="Group 17">
          <a:extLst>
            <a:ext uri="{FF2B5EF4-FFF2-40B4-BE49-F238E27FC236}">
              <a16:creationId xmlns:a16="http://schemas.microsoft.com/office/drawing/2014/main" id="{7F0F2CDA-E046-4D48-9BD8-5737BBEAE010}"/>
            </a:ext>
          </a:extLst>
        </xdr:cNvPr>
        <xdr:cNvGrpSpPr/>
      </xdr:nvGrpSpPr>
      <xdr:grpSpPr>
        <a:xfrm>
          <a:off x="16306800" y="5572125"/>
          <a:ext cx="2924175" cy="2000250"/>
          <a:chOff x="0" y="61912"/>
          <a:chExt cx="2286000" cy="2176463"/>
        </a:xfrm>
      </xdr:grpSpPr>
      <xdr:graphicFrame macro="">
        <xdr:nvGraphicFramePr>
          <xdr:cNvPr id="19" name="Chart 18">
            <a:extLst>
              <a:ext uri="{FF2B5EF4-FFF2-40B4-BE49-F238E27FC236}">
                <a16:creationId xmlns:a16="http://schemas.microsoft.com/office/drawing/2014/main" id="{792A57A7-7746-00C6-5042-A33191CB86F0}"/>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FE2F4733-1F6B-F8DF-4B4D-AEC0EA42196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Michigan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15</xdr:col>
      <xdr:colOff>171450</xdr:colOff>
      <xdr:row>9</xdr:row>
      <xdr:rowOff>61912</xdr:rowOff>
    </xdr:from>
    <xdr:to>
      <xdr:col>16</xdr:col>
      <xdr:colOff>447675</xdr:colOff>
      <xdr:row>11</xdr:row>
      <xdr:rowOff>115252</xdr:rowOff>
    </xdr:to>
    <xdr:sp macro="" textlink="">
      <xdr:nvSpPr>
        <xdr:cNvPr id="21" name="Text Box 2">
          <a:extLst>
            <a:ext uri="{FF2B5EF4-FFF2-40B4-BE49-F238E27FC236}">
              <a16:creationId xmlns:a16="http://schemas.microsoft.com/office/drawing/2014/main" id="{BDEBC335-1E56-0F32-7B68-A4D1833D6473}"/>
            </a:ext>
          </a:extLst>
        </xdr:cNvPr>
        <xdr:cNvSpPr txBox="1">
          <a:spLocks noChangeArrowheads="1"/>
        </xdr:cNvSpPr>
      </xdr:nvSpPr>
      <xdr:spPr bwMode="auto">
        <a:xfrm>
          <a:off x="11610975" y="222408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16</xdr:col>
      <xdr:colOff>438150</xdr:colOff>
      <xdr:row>9</xdr:row>
      <xdr:rowOff>61912</xdr:rowOff>
    </xdr:from>
    <xdr:to>
      <xdr:col>18</xdr:col>
      <xdr:colOff>314325</xdr:colOff>
      <xdr:row>11</xdr:row>
      <xdr:rowOff>115252</xdr:rowOff>
    </xdr:to>
    <xdr:sp macro="" textlink="">
      <xdr:nvSpPr>
        <xdr:cNvPr id="22" name="Text Box 2">
          <a:extLst>
            <a:ext uri="{FF2B5EF4-FFF2-40B4-BE49-F238E27FC236}">
              <a16:creationId xmlns:a16="http://schemas.microsoft.com/office/drawing/2014/main" id="{EE1FA18F-DC79-6407-7B0B-BBDC1EF0EE87}"/>
            </a:ext>
          </a:extLst>
        </xdr:cNvPr>
        <xdr:cNvSpPr txBox="1">
          <a:spLocks noChangeArrowheads="1"/>
        </xdr:cNvSpPr>
      </xdr:nvSpPr>
      <xdr:spPr bwMode="auto">
        <a:xfrm>
          <a:off x="12487275" y="222408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323850</xdr:colOff>
      <xdr:row>9</xdr:row>
      <xdr:rowOff>71437</xdr:rowOff>
    </xdr:from>
    <xdr:to>
      <xdr:col>20</xdr:col>
      <xdr:colOff>19050</xdr:colOff>
      <xdr:row>11</xdr:row>
      <xdr:rowOff>124777</xdr:rowOff>
    </xdr:to>
    <xdr:sp macro="" textlink="">
      <xdr:nvSpPr>
        <xdr:cNvPr id="23" name="Text Box 2">
          <a:extLst>
            <a:ext uri="{FF2B5EF4-FFF2-40B4-BE49-F238E27FC236}">
              <a16:creationId xmlns:a16="http://schemas.microsoft.com/office/drawing/2014/main" id="{B8CEB19A-8253-B38C-878A-DC7311A6EA41}"/>
            </a:ext>
          </a:extLst>
        </xdr:cNvPr>
        <xdr:cNvSpPr txBox="1">
          <a:spLocks noChangeArrowheads="1"/>
        </xdr:cNvSpPr>
      </xdr:nvSpPr>
      <xdr:spPr bwMode="auto">
        <a:xfrm>
          <a:off x="13382625" y="223361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94%</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20</xdr:col>
      <xdr:colOff>9525</xdr:colOff>
      <xdr:row>9</xdr:row>
      <xdr:rowOff>61912</xdr:rowOff>
    </xdr:from>
    <xdr:to>
      <xdr:col>21</xdr:col>
      <xdr:colOff>285750</xdr:colOff>
      <xdr:row>11</xdr:row>
      <xdr:rowOff>115252</xdr:rowOff>
    </xdr:to>
    <xdr:sp macro="" textlink="">
      <xdr:nvSpPr>
        <xdr:cNvPr id="24" name="Text Box 2">
          <a:extLst>
            <a:ext uri="{FF2B5EF4-FFF2-40B4-BE49-F238E27FC236}">
              <a16:creationId xmlns:a16="http://schemas.microsoft.com/office/drawing/2014/main" id="{E492B063-B6CA-160C-55D2-2C71C30DF655}"/>
            </a:ext>
          </a:extLst>
        </xdr:cNvPr>
        <xdr:cNvSpPr txBox="1">
          <a:spLocks noChangeArrowheads="1"/>
        </xdr:cNvSpPr>
      </xdr:nvSpPr>
      <xdr:spPr bwMode="auto">
        <a:xfrm>
          <a:off x="14258925" y="222408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21</xdr:col>
      <xdr:colOff>285750</xdr:colOff>
      <xdr:row>9</xdr:row>
      <xdr:rowOff>61912</xdr:rowOff>
    </xdr:from>
    <xdr:to>
      <xdr:col>23</xdr:col>
      <xdr:colOff>28575</xdr:colOff>
      <xdr:row>11</xdr:row>
      <xdr:rowOff>115252</xdr:rowOff>
    </xdr:to>
    <xdr:sp macro="" textlink="">
      <xdr:nvSpPr>
        <xdr:cNvPr id="25" name="Text Box 2">
          <a:extLst>
            <a:ext uri="{FF2B5EF4-FFF2-40B4-BE49-F238E27FC236}">
              <a16:creationId xmlns:a16="http://schemas.microsoft.com/office/drawing/2014/main" id="{EB49565D-4134-258C-7179-75193C32884E}"/>
            </a:ext>
          </a:extLst>
        </xdr:cNvPr>
        <xdr:cNvSpPr txBox="1">
          <a:spLocks noChangeArrowheads="1"/>
        </xdr:cNvSpPr>
      </xdr:nvSpPr>
      <xdr:spPr bwMode="auto">
        <a:xfrm>
          <a:off x="15144750" y="222408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72075BB-BF45-4BF3-85BA-2BC5BE72E67A}"/>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22</xdr:row>
      <xdr:rowOff>190499</xdr:rowOff>
    </xdr:to>
    <xdr:graphicFrame macro="">
      <xdr:nvGraphicFramePr>
        <xdr:cNvPr id="3" name="Chart 2">
          <a:extLst>
            <a:ext uri="{FF2B5EF4-FFF2-40B4-BE49-F238E27FC236}">
              <a16:creationId xmlns:a16="http://schemas.microsoft.com/office/drawing/2014/main" id="{30AF3EF3-1EEF-4A7F-9388-B867E57DB8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25</xdr:row>
      <xdr:rowOff>0</xdr:rowOff>
    </xdr:from>
    <xdr:to>
      <xdr:col>14</xdr:col>
      <xdr:colOff>238126</xdr:colOff>
      <xdr:row>28</xdr:row>
      <xdr:rowOff>104775</xdr:rowOff>
    </xdr:to>
    <xdr:sp macro="" textlink="">
      <xdr:nvSpPr>
        <xdr:cNvPr id="4" name="TextBox 3">
          <a:extLst>
            <a:ext uri="{FF2B5EF4-FFF2-40B4-BE49-F238E27FC236}">
              <a16:creationId xmlns:a16="http://schemas.microsoft.com/office/drawing/2014/main" id="{4619F929-CA05-43B7-BAB1-DA847B1CD67E}"/>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23</xdr:row>
      <xdr:rowOff>22860</xdr:rowOff>
    </xdr:from>
    <xdr:to>
      <xdr:col>34</xdr:col>
      <xdr:colOff>1419225</xdr:colOff>
      <xdr:row>45</xdr:row>
      <xdr:rowOff>74295</xdr:rowOff>
    </xdr:to>
    <xdr:graphicFrame macro="">
      <xdr:nvGraphicFramePr>
        <xdr:cNvPr id="5" name="Chart 4">
          <a:extLst>
            <a:ext uri="{FF2B5EF4-FFF2-40B4-BE49-F238E27FC236}">
              <a16:creationId xmlns:a16="http://schemas.microsoft.com/office/drawing/2014/main" id="{DE574CD3-7B2E-4815-A07D-5B5DF55DEE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8.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Assistant Teacher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1D220DA-ABFE-4CF5-B55B-43897C2C277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D7A5318E-02CA-4ECC-BB75-26F522384636}"/>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19E2FDE0-1405-490D-5F92-81B1F99EA292}"/>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CD9A6CE3-C979-F769-9FAA-8B901EF514E4}"/>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3285E767-8785-31EE-8E82-F99D1A329B7C}"/>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6BDD5B7D-95E0-89D2-EFA2-1B38905B4B2A}"/>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8AB369EE-74D8-A2BC-DE9B-1F1D05729F14}"/>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B45EFF78-7498-9DA4-C7BE-0908F8D502F8}"/>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B205FF0F-B5D8-694C-FF50-7FDA8FE70AA3}"/>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Assistant Teacher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F28C8D7E-0D15-47E9-B809-036277C68383}"/>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3906</xdr:rowOff>
    </xdr:from>
    <xdr:to>
      <xdr:col>0</xdr:col>
      <xdr:colOff>1428750</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0E8231D-5EBA-4A43-BCF6-D5E261720F32}"/>
            </a:ext>
          </a:extLst>
        </xdr:cNvPr>
        <xdr:cNvSpPr/>
      </xdr:nvSpPr>
      <xdr:spPr>
        <a:xfrm>
          <a:off x="0" y="3906"/>
          <a:ext cx="1428750" cy="291369"/>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22</xdr:row>
      <xdr:rowOff>9160</xdr:rowOff>
    </xdr:from>
    <xdr:to>
      <xdr:col>10</xdr:col>
      <xdr:colOff>281151</xdr:colOff>
      <xdr:row>25</xdr:row>
      <xdr:rowOff>174015</xdr:rowOff>
    </xdr:to>
    <xdr:sp macro="" textlink="">
      <xdr:nvSpPr>
        <xdr:cNvPr id="3" name="TextBox 2">
          <a:extLst>
            <a:ext uri="{FF2B5EF4-FFF2-40B4-BE49-F238E27FC236}">
              <a16:creationId xmlns:a16="http://schemas.microsoft.com/office/drawing/2014/main" id="{943E9AF7-8F68-411D-AEF6-8186DD7ECC60}"/>
            </a:ext>
          </a:extLst>
        </xdr:cNvPr>
        <xdr:cNvSpPr txBox="1"/>
      </xdr:nvSpPr>
      <xdr:spPr>
        <a:xfrm>
          <a:off x="544187" y="4945227"/>
          <a:ext cx="9041831" cy="7067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indent="-171450">
            <a:buFont typeface="Arial" panose="020B0604020202020204" pitchFamily="34" charset="0"/>
            <a:buChar cha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E0D91D7-E620-40A7-BCF4-7DF9B19738E0}"/>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278288</xdr:colOff>
      <xdr:row>20</xdr:row>
      <xdr:rowOff>95249</xdr:rowOff>
    </xdr:from>
    <xdr:to>
      <xdr:col>16</xdr:col>
      <xdr:colOff>131445</xdr:colOff>
      <xdr:row>42</xdr:row>
      <xdr:rowOff>161924</xdr:rowOff>
    </xdr:to>
    <xdr:grpSp>
      <xdr:nvGrpSpPr>
        <xdr:cNvPr id="4" name="Group 3">
          <a:extLst>
            <a:ext uri="{FF2B5EF4-FFF2-40B4-BE49-F238E27FC236}">
              <a16:creationId xmlns:a16="http://schemas.microsoft.com/office/drawing/2014/main" id="{F0308815-120A-4035-A4DB-308439CADCDD}"/>
            </a:ext>
          </a:extLst>
        </xdr:cNvPr>
        <xdr:cNvGrpSpPr/>
      </xdr:nvGrpSpPr>
      <xdr:grpSpPr>
        <a:xfrm>
          <a:off x="3135788" y="4019549"/>
          <a:ext cx="10721182" cy="4048125"/>
          <a:chOff x="3432968" y="3571874"/>
          <a:chExt cx="9730582" cy="4048125"/>
        </a:xfrm>
      </xdr:grpSpPr>
      <xdr:graphicFrame macro="">
        <xdr:nvGraphicFramePr>
          <xdr:cNvPr id="5" name="Chart 4">
            <a:extLst>
              <a:ext uri="{FF2B5EF4-FFF2-40B4-BE49-F238E27FC236}">
                <a16:creationId xmlns:a16="http://schemas.microsoft.com/office/drawing/2014/main" id="{EC316930-E38B-B9C6-3F85-7986D49CFA6A}"/>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29638DA-0517-8B2F-75F6-A296D7B39F4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Assistant Teacher</a:t>
            </a:r>
            <a:r>
              <a:rPr lang="en-US" sz="1000" b="1">
                <a:solidFill>
                  <a:schemeClr val="tx1">
                    <a:lumMod val="65000"/>
                    <a:lumOff val="35000"/>
                  </a:schemeClr>
                </a:solidFill>
                <a:latin typeface="Arial" panose="020B0604020202020204" pitchFamily="34" charset="0"/>
                <a:cs typeface="Arial" panose="020B0604020202020204" pitchFamily="34" charset="0"/>
              </a:rPr>
              <a:t>, Michigan</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1A71DBC7-EA67-4CF2-ADC8-FF04C55F1164}"/>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206283</xdr:colOff>
      <xdr:row>2</xdr:row>
      <xdr:rowOff>38100</xdr:rowOff>
    </xdr:from>
    <xdr:to>
      <xdr:col>12</xdr:col>
      <xdr:colOff>384538</xdr:colOff>
      <xdr:row>17</xdr:row>
      <xdr:rowOff>9851</xdr:rowOff>
    </xdr:to>
    <xdr:grpSp>
      <xdr:nvGrpSpPr>
        <xdr:cNvPr id="10" name="Group 9">
          <a:extLst>
            <a:ext uri="{FF2B5EF4-FFF2-40B4-BE49-F238E27FC236}">
              <a16:creationId xmlns:a16="http://schemas.microsoft.com/office/drawing/2014/main" id="{3302953A-B5E9-36D3-46AC-F51E0677F84D}"/>
            </a:ext>
          </a:extLst>
        </xdr:cNvPr>
        <xdr:cNvGrpSpPr/>
      </xdr:nvGrpSpPr>
      <xdr:grpSpPr>
        <a:xfrm>
          <a:off x="9416958" y="514350"/>
          <a:ext cx="2645230" cy="2876876"/>
          <a:chOff x="9670323" y="502920"/>
          <a:chExt cx="2723335" cy="2775911"/>
        </a:xfrm>
      </xdr:grpSpPr>
      <xdr:graphicFrame macro="">
        <xdr:nvGraphicFramePr>
          <xdr:cNvPr id="3" name="Chart 2">
            <a:extLst>
              <a:ext uri="{FF2B5EF4-FFF2-40B4-BE49-F238E27FC236}">
                <a16:creationId xmlns:a16="http://schemas.microsoft.com/office/drawing/2014/main" id="{FE930F70-6396-4FC9-9A66-F3C838D76812}"/>
              </a:ext>
            </a:extLst>
          </xdr:cNvPr>
          <xdr:cNvGraphicFramePr>
            <a:graphicFrameLocks/>
          </xdr:cNvGraphicFramePr>
        </xdr:nvGraphicFramePr>
        <xdr:xfrm>
          <a:off x="9670323" y="8602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E5A99C04-9C1D-4F0F-A91A-AF16BEA5FAA1}"/>
              </a:ext>
            </a:extLst>
          </xdr:cNvPr>
          <xdr:cNvSpPr txBox="1"/>
        </xdr:nvSpPr>
        <xdr:spPr>
          <a:xfrm>
            <a:off x="9743190" y="50292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Michigan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C082CC0-8D7A-484B-BFBD-B3CB4838C31A}"/>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104775</xdr:colOff>
      <xdr:row>4</xdr:row>
      <xdr:rowOff>28576</xdr:rowOff>
    </xdr:from>
    <xdr:to>
      <xdr:col>10</xdr:col>
      <xdr:colOff>266700</xdr:colOff>
      <xdr:row>12</xdr:row>
      <xdr:rowOff>47626</xdr:rowOff>
    </xdr:to>
    <xdr:sp macro="" textlink="">
      <xdr:nvSpPr>
        <xdr:cNvPr id="3" name="TextBox 2">
          <a:extLst>
            <a:ext uri="{FF2B5EF4-FFF2-40B4-BE49-F238E27FC236}">
              <a16:creationId xmlns:a16="http://schemas.microsoft.com/office/drawing/2014/main" id="{51B4CC7C-9D57-4EDD-86C4-0DD01EB98B45}"/>
            </a:ext>
          </a:extLst>
        </xdr:cNvPr>
        <xdr:cNvSpPr txBox="1"/>
      </xdr:nvSpPr>
      <xdr:spPr>
        <a:xfrm>
          <a:off x="4305300" y="876301"/>
          <a:ext cx="39528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twoCellAnchor>
    <xdr:from>
      <xdr:col>0</xdr:col>
      <xdr:colOff>114299</xdr:colOff>
      <xdr:row>70</xdr:row>
      <xdr:rowOff>114300</xdr:rowOff>
    </xdr:from>
    <xdr:to>
      <xdr:col>5</xdr:col>
      <xdr:colOff>571499</xdr:colOff>
      <xdr:row>74</xdr:row>
      <xdr:rowOff>38100</xdr:rowOff>
    </xdr:to>
    <xdr:sp macro="" textlink="">
      <xdr:nvSpPr>
        <xdr:cNvPr id="4" name="TextBox 3">
          <a:extLst>
            <a:ext uri="{FF2B5EF4-FFF2-40B4-BE49-F238E27FC236}">
              <a16:creationId xmlns:a16="http://schemas.microsoft.com/office/drawing/2014/main" id="{92C1EE33-128B-4844-8F6F-73D67FC8A7B6}"/>
            </a:ext>
          </a:extLst>
        </xdr:cNvPr>
        <xdr:cNvSpPr txBox="1"/>
      </xdr:nvSpPr>
      <xdr:spPr>
        <a:xfrm>
          <a:off x="114299" y="12906375"/>
          <a:ext cx="52673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309DC2B-F339-4DB4-A00A-B98EE3DCF869}"/>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9</xdr:row>
      <xdr:rowOff>32384</xdr:rowOff>
    </xdr:from>
    <xdr:to>
      <xdr:col>14</xdr:col>
      <xdr:colOff>0</xdr:colOff>
      <xdr:row>13</xdr:row>
      <xdr:rowOff>15240</xdr:rowOff>
    </xdr:to>
    <xdr:sp macro="" textlink="">
      <xdr:nvSpPr>
        <xdr:cNvPr id="4" name="TextBox 3">
          <a:extLst>
            <a:ext uri="{FF2B5EF4-FFF2-40B4-BE49-F238E27FC236}">
              <a16:creationId xmlns:a16="http://schemas.microsoft.com/office/drawing/2014/main" id="{71DF5F46-FC0A-4BAE-83BA-59133CEFB983}"/>
            </a:ext>
          </a:extLst>
        </xdr:cNvPr>
        <xdr:cNvSpPr txBox="1"/>
      </xdr:nvSpPr>
      <xdr:spPr>
        <a:xfrm>
          <a:off x="0" y="1868804"/>
          <a:ext cx="10683240" cy="6838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22</xdr:row>
      <xdr:rowOff>180975</xdr:rowOff>
    </xdr:from>
    <xdr:to>
      <xdr:col>18</xdr:col>
      <xdr:colOff>600075</xdr:colOff>
      <xdr:row>26</xdr:row>
      <xdr:rowOff>104775</xdr:rowOff>
    </xdr:to>
    <xdr:sp macro="" textlink="">
      <xdr:nvSpPr>
        <xdr:cNvPr id="5" name="TextBox 4">
          <a:extLst>
            <a:ext uri="{FF2B5EF4-FFF2-40B4-BE49-F238E27FC236}">
              <a16:creationId xmlns:a16="http://schemas.microsoft.com/office/drawing/2014/main" id="{B3148A97-0CA2-47C2-BFA9-647EE89B28A1}"/>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6" name="TextBox 5">
          <a:extLst>
            <a:ext uri="{FF2B5EF4-FFF2-40B4-BE49-F238E27FC236}">
              <a16:creationId xmlns:a16="http://schemas.microsoft.com/office/drawing/2014/main" id="{C6145438-BBE9-4A50-B000-A74DCA6147F9}"/>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352424</xdr:colOff>
      <xdr:row>0</xdr:row>
      <xdr:rowOff>177165</xdr:rowOff>
    </xdr:from>
    <xdr:to>
      <xdr:col>33</xdr:col>
      <xdr:colOff>104775</xdr:colOff>
      <xdr:row>25</xdr:row>
      <xdr:rowOff>123825</xdr:rowOff>
    </xdr:to>
    <xdr:grpSp>
      <xdr:nvGrpSpPr>
        <xdr:cNvPr id="7" name="Group 6">
          <a:extLst>
            <a:ext uri="{FF2B5EF4-FFF2-40B4-BE49-F238E27FC236}">
              <a16:creationId xmlns:a16="http://schemas.microsoft.com/office/drawing/2014/main" id="{B78BB5D3-1F60-44C0-B82C-086518D504FA}"/>
            </a:ext>
          </a:extLst>
        </xdr:cNvPr>
        <xdr:cNvGrpSpPr/>
      </xdr:nvGrpSpPr>
      <xdr:grpSpPr>
        <a:xfrm>
          <a:off x="13658849" y="177165"/>
          <a:ext cx="9944101" cy="4947285"/>
          <a:chOff x="2571749" y="704319"/>
          <a:chExt cx="9877426" cy="4371975"/>
        </a:xfrm>
      </xdr:grpSpPr>
      <xdr:graphicFrame macro="">
        <xdr:nvGraphicFramePr>
          <xdr:cNvPr id="8" name="Chart 7">
            <a:extLst>
              <a:ext uri="{FF2B5EF4-FFF2-40B4-BE49-F238E27FC236}">
                <a16:creationId xmlns:a16="http://schemas.microsoft.com/office/drawing/2014/main" id="{03CB6A58-65ED-F02E-9845-4BA6997E3761}"/>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5366AB34-56E5-CBFB-FB40-E01C82CE8EA2}"/>
              </a:ext>
            </a:extLst>
          </xdr:cNvPr>
          <xdr:cNvGrpSpPr/>
        </xdr:nvGrpSpPr>
        <xdr:grpSpPr>
          <a:xfrm>
            <a:off x="3095625" y="2648676"/>
            <a:ext cx="9353550" cy="680630"/>
            <a:chOff x="3095625" y="2648676"/>
            <a:chExt cx="9353550" cy="680630"/>
          </a:xfrm>
        </xdr:grpSpPr>
        <xdr:cxnSp macro="">
          <xdr:nvCxnSpPr>
            <xdr:cNvPr id="10" name="Straight Connector 9">
              <a:extLst>
                <a:ext uri="{FF2B5EF4-FFF2-40B4-BE49-F238E27FC236}">
                  <a16:creationId xmlns:a16="http://schemas.microsoft.com/office/drawing/2014/main" id="{B481B64B-F555-F8A2-8AE5-7FB836BD1900}"/>
                </a:ext>
              </a:extLst>
            </xdr:cNvPr>
            <xdr:cNvCxnSpPr/>
          </xdr:nvCxnSpPr>
          <xdr:spPr>
            <a:xfrm flipV="1">
              <a:off x="3095625" y="3304692"/>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408DA0AF-AE17-3901-969B-596F31562727}"/>
                </a:ext>
              </a:extLst>
            </xdr:cNvPr>
            <xdr:cNvSpPr txBox="1"/>
          </xdr:nvSpPr>
          <xdr:spPr>
            <a:xfrm>
              <a:off x="10887076" y="264867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41</xdr:row>
      <xdr:rowOff>0</xdr:rowOff>
    </xdr:from>
    <xdr:to>
      <xdr:col>19</xdr:col>
      <xdr:colOff>19050</xdr:colOff>
      <xdr:row>45</xdr:row>
      <xdr:rowOff>57150</xdr:rowOff>
    </xdr:to>
    <xdr:sp macro="" textlink="">
      <xdr:nvSpPr>
        <xdr:cNvPr id="12" name="TextBox 11">
          <a:extLst>
            <a:ext uri="{FF2B5EF4-FFF2-40B4-BE49-F238E27FC236}">
              <a16:creationId xmlns:a16="http://schemas.microsoft.com/office/drawing/2014/main" id="{97D7B8E2-4DE3-4A33-8922-82EC85C1CEA1}"/>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352425</xdr:colOff>
      <xdr:row>25</xdr:row>
      <xdr:rowOff>171450</xdr:rowOff>
    </xdr:from>
    <xdr:to>
      <xdr:col>33</xdr:col>
      <xdr:colOff>95251</xdr:colOff>
      <xdr:row>52</xdr:row>
      <xdr:rowOff>133350</xdr:rowOff>
    </xdr:to>
    <xdr:grpSp>
      <xdr:nvGrpSpPr>
        <xdr:cNvPr id="13" name="Group 12">
          <a:extLst>
            <a:ext uri="{FF2B5EF4-FFF2-40B4-BE49-F238E27FC236}">
              <a16:creationId xmlns:a16="http://schemas.microsoft.com/office/drawing/2014/main" id="{33E2A076-88D3-41B0-AF24-80157A158B32}"/>
            </a:ext>
          </a:extLst>
        </xdr:cNvPr>
        <xdr:cNvGrpSpPr/>
      </xdr:nvGrpSpPr>
      <xdr:grpSpPr>
        <a:xfrm>
          <a:off x="13658850" y="5172075"/>
          <a:ext cx="9934576" cy="4933950"/>
          <a:chOff x="2571749" y="704319"/>
          <a:chExt cx="9867901" cy="4371975"/>
        </a:xfrm>
      </xdr:grpSpPr>
      <xdr:graphicFrame macro="">
        <xdr:nvGraphicFramePr>
          <xdr:cNvPr id="14" name="Chart 13">
            <a:extLst>
              <a:ext uri="{FF2B5EF4-FFF2-40B4-BE49-F238E27FC236}">
                <a16:creationId xmlns:a16="http://schemas.microsoft.com/office/drawing/2014/main" id="{A8883C53-5C74-D245-BAE2-5CED6D56C0EF}"/>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AA0F1FC6-C2CB-C061-301F-943A5CA486EE}"/>
              </a:ext>
            </a:extLst>
          </xdr:cNvPr>
          <xdr:cNvGrpSpPr/>
        </xdr:nvGrpSpPr>
        <xdr:grpSpPr>
          <a:xfrm>
            <a:off x="3095625" y="3220420"/>
            <a:ext cx="9344025" cy="680630"/>
            <a:chOff x="3095625" y="3220420"/>
            <a:chExt cx="9344025" cy="680630"/>
          </a:xfrm>
        </xdr:grpSpPr>
        <xdr:cxnSp macro="">
          <xdr:nvCxnSpPr>
            <xdr:cNvPr id="16" name="Straight Connector 15">
              <a:extLst>
                <a:ext uri="{FF2B5EF4-FFF2-40B4-BE49-F238E27FC236}">
                  <a16:creationId xmlns:a16="http://schemas.microsoft.com/office/drawing/2014/main" id="{F0BB502B-0E04-D359-2384-6CE2F869E93B}"/>
                </a:ext>
              </a:extLst>
            </xdr:cNvPr>
            <xdr:cNvCxnSpPr/>
          </xdr:nvCxnSpPr>
          <xdr:spPr>
            <a:xfrm flipV="1">
              <a:off x="3095625" y="3246093"/>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970C5520-6B57-B6FB-78B0-D4AA41A27940}"/>
                </a:ext>
              </a:extLst>
            </xdr:cNvPr>
            <xdr:cNvSpPr txBox="1"/>
          </xdr:nvSpPr>
          <xdr:spPr>
            <a:xfrm>
              <a:off x="10877551" y="3220420"/>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5372E81-4392-4DEC-9309-488892326ED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12</xdr:row>
      <xdr:rowOff>133350</xdr:rowOff>
    </xdr:from>
    <xdr:to>
      <xdr:col>2</xdr:col>
      <xdr:colOff>723424</xdr:colOff>
      <xdr:row>22</xdr:row>
      <xdr:rowOff>146295</xdr:rowOff>
    </xdr:to>
    <xdr:grpSp>
      <xdr:nvGrpSpPr>
        <xdr:cNvPr id="3" name="Group 2">
          <a:extLst>
            <a:ext uri="{FF2B5EF4-FFF2-40B4-BE49-F238E27FC236}">
              <a16:creationId xmlns:a16="http://schemas.microsoft.com/office/drawing/2014/main" id="{62947A29-5C70-49E0-9E08-D0463FDDCE46}"/>
            </a:ext>
          </a:extLst>
        </xdr:cNvPr>
        <xdr:cNvGrpSpPr/>
      </xdr:nvGrpSpPr>
      <xdr:grpSpPr>
        <a:xfrm>
          <a:off x="257175" y="26003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76559B5B-7C2C-3EBC-8667-7BB95AD4842E}"/>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7FA5639-60FB-6C86-3792-B8D7D86E0B4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Michigan, 2022</a:t>
            </a:r>
          </a:p>
        </xdr:txBody>
      </xdr:sp>
    </xdr:grpSp>
    <xdr:clientData/>
  </xdr:twoCellAnchor>
  <xdr:twoCellAnchor>
    <xdr:from>
      <xdr:col>4</xdr:col>
      <xdr:colOff>323850</xdr:colOff>
      <xdr:row>12</xdr:row>
      <xdr:rowOff>74295</xdr:rowOff>
    </xdr:from>
    <xdr:to>
      <xdr:col>6</xdr:col>
      <xdr:colOff>637698</xdr:colOff>
      <xdr:row>23</xdr:row>
      <xdr:rowOff>27146</xdr:rowOff>
    </xdr:to>
    <xdr:grpSp>
      <xdr:nvGrpSpPr>
        <xdr:cNvPr id="6" name="Group 5">
          <a:extLst>
            <a:ext uri="{FF2B5EF4-FFF2-40B4-BE49-F238E27FC236}">
              <a16:creationId xmlns:a16="http://schemas.microsoft.com/office/drawing/2014/main" id="{79CABEEB-1614-4FA7-A43D-942785598707}"/>
            </a:ext>
          </a:extLst>
        </xdr:cNvPr>
        <xdr:cNvGrpSpPr/>
      </xdr:nvGrpSpPr>
      <xdr:grpSpPr>
        <a:xfrm>
          <a:off x="3790950" y="2541270"/>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1F3BDC14-C826-E2C7-D412-8E2D81C926FB}"/>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82D0923B-4E70-3046-3C83-D3214A0C158D}"/>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Michigan, 2022</a:t>
            </a:r>
          </a:p>
        </xdr:txBody>
      </xdr:sp>
    </xdr:grpSp>
    <xdr:clientData/>
  </xdr:twoCellAnchor>
  <xdr:twoCellAnchor>
    <xdr:from>
      <xdr:col>8</xdr:col>
      <xdr:colOff>428625</xdr:colOff>
      <xdr:row>12</xdr:row>
      <xdr:rowOff>142875</xdr:rowOff>
    </xdr:from>
    <xdr:to>
      <xdr:col>10</xdr:col>
      <xdr:colOff>266700</xdr:colOff>
      <xdr:row>23</xdr:row>
      <xdr:rowOff>477</xdr:rowOff>
    </xdr:to>
    <xdr:grpSp>
      <xdr:nvGrpSpPr>
        <xdr:cNvPr id="9" name="Group 8">
          <a:extLst>
            <a:ext uri="{FF2B5EF4-FFF2-40B4-BE49-F238E27FC236}">
              <a16:creationId xmlns:a16="http://schemas.microsoft.com/office/drawing/2014/main" id="{65353ED1-8D22-49C3-8F1A-0417CF4D0B7A}"/>
            </a:ext>
          </a:extLst>
        </xdr:cNvPr>
        <xdr:cNvGrpSpPr/>
      </xdr:nvGrpSpPr>
      <xdr:grpSpPr>
        <a:xfrm>
          <a:off x="7572375" y="26098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259A4473-08FC-68DF-AEE2-4F9849AF7C93}"/>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C08A37A2-4BD8-5841-08EE-C4C2D707D441}"/>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Michigan, 2022</a:t>
            </a:r>
          </a:p>
        </xdr:txBody>
      </xdr:sp>
    </xdr:grpSp>
    <xdr:clientData/>
  </xdr:twoCellAnchor>
  <xdr:twoCellAnchor>
    <xdr:from>
      <xdr:col>12</xdr:col>
      <xdr:colOff>27940</xdr:colOff>
      <xdr:row>7</xdr:row>
      <xdr:rowOff>38100</xdr:rowOff>
    </xdr:from>
    <xdr:to>
      <xdr:col>15</xdr:col>
      <xdr:colOff>76199</xdr:colOff>
      <xdr:row>15</xdr:row>
      <xdr:rowOff>106045</xdr:rowOff>
    </xdr:to>
    <xdr:grpSp>
      <xdr:nvGrpSpPr>
        <xdr:cNvPr id="12" name="Group 11">
          <a:extLst>
            <a:ext uri="{FF2B5EF4-FFF2-40B4-BE49-F238E27FC236}">
              <a16:creationId xmlns:a16="http://schemas.microsoft.com/office/drawing/2014/main" id="{10A5ADE1-E5C3-43A9-96BD-72D5A0F6312D}"/>
            </a:ext>
          </a:extLst>
        </xdr:cNvPr>
        <xdr:cNvGrpSpPr/>
      </xdr:nvGrpSpPr>
      <xdr:grpSpPr>
        <a:xfrm>
          <a:off x="11305540" y="15525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2F49769D-6CE4-9DDC-7102-9E5C8649EAA4}"/>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Michigan,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A54A192F-B97C-60FC-8C36-BAA39A6A2314}"/>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386EED0E-7D47-6720-38E0-40313DEA6773}"/>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93.4%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8C30038B-88AE-BEFC-E648-5AE3324AC298}"/>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9B99EE0E-6398-1002-029E-5CCAF9BC0A0E}"/>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6.6%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3CC6F701-2581-7389-4C59-4E99EED24C8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574E699B-5F11-97B2-476E-ACC0E3548E7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23</xdr:row>
      <xdr:rowOff>95250</xdr:rowOff>
    </xdr:from>
    <xdr:to>
      <xdr:col>2</xdr:col>
      <xdr:colOff>657225</xdr:colOff>
      <xdr:row>26</xdr:row>
      <xdr:rowOff>171450</xdr:rowOff>
    </xdr:to>
    <xdr:sp macro="" textlink="">
      <xdr:nvSpPr>
        <xdr:cNvPr id="20" name="TextBox 19">
          <a:extLst>
            <a:ext uri="{FF2B5EF4-FFF2-40B4-BE49-F238E27FC236}">
              <a16:creationId xmlns:a16="http://schemas.microsoft.com/office/drawing/2014/main" id="{E2DA0D9D-397D-4320-B473-A1153910C60E}"/>
            </a:ext>
          </a:extLst>
        </xdr:cNvPr>
        <xdr:cNvSpPr txBox="1"/>
      </xdr:nvSpPr>
      <xdr:spPr>
        <a:xfrm>
          <a:off x="66675" y="4657725"/>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23</xdr:row>
      <xdr:rowOff>133350</xdr:rowOff>
    </xdr:from>
    <xdr:to>
      <xdr:col>6</xdr:col>
      <xdr:colOff>704850</xdr:colOff>
      <xdr:row>27</xdr:row>
      <xdr:rowOff>19050</xdr:rowOff>
    </xdr:to>
    <xdr:sp macro="" textlink="">
      <xdr:nvSpPr>
        <xdr:cNvPr id="21" name="TextBox 20">
          <a:extLst>
            <a:ext uri="{FF2B5EF4-FFF2-40B4-BE49-F238E27FC236}">
              <a16:creationId xmlns:a16="http://schemas.microsoft.com/office/drawing/2014/main" id="{4E88587A-4BBA-4D48-93B1-142B046F6BDB}"/>
            </a:ext>
          </a:extLst>
        </xdr:cNvPr>
        <xdr:cNvSpPr txBox="1"/>
      </xdr:nvSpPr>
      <xdr:spPr>
        <a:xfrm>
          <a:off x="3686175" y="4695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23</xdr:row>
      <xdr:rowOff>123825</xdr:rowOff>
    </xdr:from>
    <xdr:to>
      <xdr:col>10</xdr:col>
      <xdr:colOff>333375</xdr:colOff>
      <xdr:row>27</xdr:row>
      <xdr:rowOff>9525</xdr:rowOff>
    </xdr:to>
    <xdr:sp macro="" textlink="">
      <xdr:nvSpPr>
        <xdr:cNvPr id="22" name="TextBox 21">
          <a:extLst>
            <a:ext uri="{FF2B5EF4-FFF2-40B4-BE49-F238E27FC236}">
              <a16:creationId xmlns:a16="http://schemas.microsoft.com/office/drawing/2014/main" id="{0E7E9DAB-3973-46E6-B34F-D5D1884044C9}"/>
            </a:ext>
          </a:extLst>
        </xdr:cNvPr>
        <xdr:cNvSpPr txBox="1"/>
      </xdr:nvSpPr>
      <xdr:spPr>
        <a:xfrm>
          <a:off x="7486650" y="468630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15</xdr:row>
      <xdr:rowOff>133350</xdr:rowOff>
    </xdr:from>
    <xdr:to>
      <xdr:col>17</xdr:col>
      <xdr:colOff>219075</xdr:colOff>
      <xdr:row>19</xdr:row>
      <xdr:rowOff>19050</xdr:rowOff>
    </xdr:to>
    <xdr:sp macro="" textlink="">
      <xdr:nvSpPr>
        <xdr:cNvPr id="23" name="TextBox 22">
          <a:extLst>
            <a:ext uri="{FF2B5EF4-FFF2-40B4-BE49-F238E27FC236}">
              <a16:creationId xmlns:a16="http://schemas.microsoft.com/office/drawing/2014/main" id="{E503720A-ACBB-45EC-879D-36923FAA130E}"/>
            </a:ext>
          </a:extLst>
        </xdr:cNvPr>
        <xdr:cNvSpPr txBox="1"/>
      </xdr:nvSpPr>
      <xdr:spPr>
        <a:xfrm>
          <a:off x="11249025" y="31718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9EDC2BE-A8DD-45FD-9BE4-F72458D416BF}"/>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57150</xdr:colOff>
      <xdr:row>1</xdr:row>
      <xdr:rowOff>57150</xdr:rowOff>
    </xdr:from>
    <xdr:to>
      <xdr:col>14</xdr:col>
      <xdr:colOff>66675</xdr:colOff>
      <xdr:row>15</xdr:row>
      <xdr:rowOff>85725</xdr:rowOff>
    </xdr:to>
    <xdr:grpSp>
      <xdr:nvGrpSpPr>
        <xdr:cNvPr id="3" name="Group 2">
          <a:extLst>
            <a:ext uri="{FF2B5EF4-FFF2-40B4-BE49-F238E27FC236}">
              <a16:creationId xmlns:a16="http://schemas.microsoft.com/office/drawing/2014/main" id="{71BB2FC2-4F63-40FB-9219-AE4CCF73698A}"/>
            </a:ext>
          </a:extLst>
        </xdr:cNvPr>
        <xdr:cNvGrpSpPr/>
      </xdr:nvGrpSpPr>
      <xdr:grpSpPr>
        <a:xfrm>
          <a:off x="7419975" y="352425"/>
          <a:ext cx="3581400" cy="3048000"/>
          <a:chOff x="5400675" y="600075"/>
          <a:chExt cx="2914173" cy="3057525"/>
        </a:xfrm>
      </xdr:grpSpPr>
      <xdr:graphicFrame macro="">
        <xdr:nvGraphicFramePr>
          <xdr:cNvPr id="4" name="Chart 3">
            <a:extLst>
              <a:ext uri="{FF2B5EF4-FFF2-40B4-BE49-F238E27FC236}">
                <a16:creationId xmlns:a16="http://schemas.microsoft.com/office/drawing/2014/main" id="{9F67C4B0-CAE1-932E-C304-B42A8A0990DD}"/>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6B6C6D79-C8E4-916C-6E13-EC9056572132}"/>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ECE Aide/Floater</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14" name="TextBox 13">
          <a:extLst>
            <a:ext uri="{FF2B5EF4-FFF2-40B4-BE49-F238E27FC236}">
              <a16:creationId xmlns:a16="http://schemas.microsoft.com/office/drawing/2014/main" id="{71DC3EE6-C9E4-4031-8828-C65943C380AC}"/>
            </a:ext>
          </a:extLst>
        </xdr:cNvPr>
        <xdr:cNvSpPr txBox="1"/>
      </xdr:nvSpPr>
      <xdr:spPr>
        <a:xfrm>
          <a:off x="2581274" y="116681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85725</xdr:colOff>
      <xdr:row>1</xdr:row>
      <xdr:rowOff>145732</xdr:rowOff>
    </xdr:from>
    <xdr:to>
      <xdr:col>25</xdr:col>
      <xdr:colOff>419100</xdr:colOff>
      <xdr:row>14</xdr:row>
      <xdr:rowOff>128587</xdr:rowOff>
    </xdr:to>
    <xdr:grpSp>
      <xdr:nvGrpSpPr>
        <xdr:cNvPr id="19" name="Group 18">
          <a:extLst>
            <a:ext uri="{FF2B5EF4-FFF2-40B4-BE49-F238E27FC236}">
              <a16:creationId xmlns:a16="http://schemas.microsoft.com/office/drawing/2014/main" id="{2A4356C0-B784-66B7-F07E-73DC851B16B2}"/>
            </a:ext>
          </a:extLst>
        </xdr:cNvPr>
        <xdr:cNvGrpSpPr/>
      </xdr:nvGrpSpPr>
      <xdr:grpSpPr>
        <a:xfrm>
          <a:off x="11020425" y="441007"/>
          <a:ext cx="6429375" cy="2811780"/>
          <a:chOff x="11020425" y="441007"/>
          <a:chExt cx="6429375" cy="2811780"/>
        </a:xfrm>
      </xdr:grpSpPr>
      <xdr:grpSp>
        <xdr:nvGrpSpPr>
          <xdr:cNvPr id="6" name="Group 5">
            <a:extLst>
              <a:ext uri="{FF2B5EF4-FFF2-40B4-BE49-F238E27FC236}">
                <a16:creationId xmlns:a16="http://schemas.microsoft.com/office/drawing/2014/main" id="{AC9749B7-F649-453C-B35A-D08579FB9789}"/>
              </a:ext>
            </a:extLst>
          </xdr:cNvPr>
          <xdr:cNvGrpSpPr/>
        </xdr:nvGrpSpPr>
        <xdr:grpSpPr>
          <a:xfrm>
            <a:off x="11020425" y="509587"/>
            <a:ext cx="6429375" cy="2743200"/>
            <a:chOff x="11182350" y="500062"/>
            <a:chExt cx="10033212" cy="3252788"/>
          </a:xfrm>
        </xdr:grpSpPr>
        <xdr:grpSp>
          <xdr:nvGrpSpPr>
            <xdr:cNvPr id="7" name="Group 6">
              <a:extLst>
                <a:ext uri="{FF2B5EF4-FFF2-40B4-BE49-F238E27FC236}">
                  <a16:creationId xmlns:a16="http://schemas.microsoft.com/office/drawing/2014/main" id="{6B3EBF0C-CB2B-686A-655B-ACF059735BDD}"/>
                </a:ext>
              </a:extLst>
            </xdr:cNvPr>
            <xdr:cNvGrpSpPr/>
          </xdr:nvGrpSpPr>
          <xdr:grpSpPr>
            <a:xfrm>
              <a:off x="11182350" y="500062"/>
              <a:ext cx="9988619" cy="3252788"/>
              <a:chOff x="8410575" y="538162"/>
              <a:chExt cx="10007628" cy="2909888"/>
            </a:xfrm>
            <a:solidFill>
              <a:schemeClr val="bg1"/>
            </a:solidFill>
          </xdr:grpSpPr>
          <xdr:graphicFrame macro="">
            <xdr:nvGraphicFramePr>
              <xdr:cNvPr id="10" name="Chart 9">
                <a:extLst>
                  <a:ext uri="{FF2B5EF4-FFF2-40B4-BE49-F238E27FC236}">
                    <a16:creationId xmlns:a16="http://schemas.microsoft.com/office/drawing/2014/main" id="{ED6B106A-3CE0-8A49-B0E1-ADEB0AFE3776}"/>
                  </a:ext>
                </a:extLst>
              </xdr:cNvPr>
              <xdr:cNvGraphicFramePr/>
            </xdr:nvGraphicFramePr>
            <xdr:xfrm>
              <a:off x="8410575" y="538162"/>
              <a:ext cx="7677281"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9796908A-4677-EC70-23E5-B96BAFD0C8B9}"/>
                  </a:ext>
                </a:extLst>
              </xdr:cNvPr>
              <xdr:cNvSpPr txBox="1"/>
            </xdr:nvSpPr>
            <xdr:spPr>
              <a:xfrm>
                <a:off x="9848848" y="542924"/>
                <a:ext cx="7348186" cy="262988"/>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Michigan, 2022</a:t>
                </a:r>
              </a:p>
            </xdr:txBody>
          </xdr:sp>
          <xdr:cxnSp macro="">
            <xdr:nvCxnSpPr>
              <xdr:cNvPr id="12" name="Straight Connector 11">
                <a:extLst>
                  <a:ext uri="{FF2B5EF4-FFF2-40B4-BE49-F238E27FC236}">
                    <a16:creationId xmlns:a16="http://schemas.microsoft.com/office/drawing/2014/main" id="{2B92E9AB-12FE-8440-F573-DB237C51B090}"/>
                  </a:ext>
                </a:extLst>
              </xdr:cNvPr>
              <xdr:cNvCxnSpPr/>
            </xdr:nvCxnSpPr>
            <xdr:spPr>
              <a:xfrm>
                <a:off x="9130443" y="1556621"/>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6987792F-6AD9-16B3-D7BE-0C5528BADD6C}"/>
                  </a:ext>
                </a:extLst>
              </xdr:cNvPr>
              <xdr:cNvSpPr txBox="1"/>
            </xdr:nvSpPr>
            <xdr:spPr>
              <a:xfrm>
                <a:off x="16112042" y="1557443"/>
                <a:ext cx="2306161" cy="521545"/>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$12.45</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Aide/Floater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 Michigan</a:t>
                </a:r>
              </a:p>
            </xdr:txBody>
          </xdr:sp>
        </xdr:grpSp>
        <xdr:cxnSp macro="">
          <xdr:nvCxnSpPr>
            <xdr:cNvPr id="8" name="Straight Connector 7">
              <a:extLst>
                <a:ext uri="{FF2B5EF4-FFF2-40B4-BE49-F238E27FC236}">
                  <a16:creationId xmlns:a16="http://schemas.microsoft.com/office/drawing/2014/main" id="{C2C9E622-B55B-1BB4-A5CE-7035940481DB}"/>
                </a:ext>
              </a:extLst>
            </xdr:cNvPr>
            <xdr:cNvCxnSpPr/>
          </xdr:nvCxnSpPr>
          <xdr:spPr>
            <a:xfrm>
              <a:off x="11893501" y="1291581"/>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9" name="TextBox 8">
              <a:extLst>
                <a:ext uri="{FF2B5EF4-FFF2-40B4-BE49-F238E27FC236}">
                  <a16:creationId xmlns:a16="http://schemas.microsoft.com/office/drawing/2014/main" id="{A50885E1-BB38-9097-B6E7-B47DA5A11099}"/>
                </a:ext>
              </a:extLst>
            </xdr:cNvPr>
            <xdr:cNvSpPr txBox="1"/>
          </xdr:nvSpPr>
          <xdr:spPr>
            <a:xfrm>
              <a:off x="18866562" y="1025446"/>
              <a:ext cx="2349000"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$16.33</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Aide/Floater,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 Michigan</a:t>
              </a:r>
            </a:p>
          </xdr:txBody>
        </xdr:sp>
      </xdr:grpSp>
      <xdr:cxnSp macro="">
        <xdr:nvCxnSpPr>
          <xdr:cNvPr id="15" name="Straight Connector 14">
            <a:extLst>
              <a:ext uri="{FF2B5EF4-FFF2-40B4-BE49-F238E27FC236}">
                <a16:creationId xmlns:a16="http://schemas.microsoft.com/office/drawing/2014/main" id="{C3E1A1C2-41F2-48AD-8411-81F13D846509}"/>
              </a:ext>
            </a:extLst>
          </xdr:cNvPr>
          <xdr:cNvCxnSpPr/>
        </xdr:nvCxnSpPr>
        <xdr:spPr>
          <a:xfrm>
            <a:off x="11479530" y="930345"/>
            <a:ext cx="5855970" cy="22155"/>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6" name="TextBox 15">
            <a:extLst>
              <a:ext uri="{FF2B5EF4-FFF2-40B4-BE49-F238E27FC236}">
                <a16:creationId xmlns:a16="http://schemas.microsoft.com/office/drawing/2014/main" id="{1A199584-0632-42E7-86B9-AA0948206239}"/>
              </a:ext>
            </a:extLst>
          </xdr:cNvPr>
          <xdr:cNvSpPr txBox="1"/>
        </xdr:nvSpPr>
        <xdr:spPr>
          <a:xfrm>
            <a:off x="15902391" y="441007"/>
            <a:ext cx="1528359" cy="520065"/>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$17.96</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Aide/Floater,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 Michigan</a:t>
            </a:r>
          </a:p>
        </xdr:txBody>
      </xdr:sp>
    </xdr:grpSp>
    <xdr:clientData/>
  </xdr:twoCellAnchor>
  <xdr:twoCellAnchor>
    <xdr:from>
      <xdr:col>23</xdr:col>
      <xdr:colOff>285750</xdr:colOff>
      <xdr:row>25</xdr:row>
      <xdr:rowOff>180975</xdr:rowOff>
    </xdr:from>
    <xdr:to>
      <xdr:col>28</xdr:col>
      <xdr:colOff>352425</xdr:colOff>
      <xdr:row>36</xdr:row>
      <xdr:rowOff>47625</xdr:rowOff>
    </xdr:to>
    <xdr:grpSp>
      <xdr:nvGrpSpPr>
        <xdr:cNvPr id="17" name="Group 16">
          <a:extLst>
            <a:ext uri="{FF2B5EF4-FFF2-40B4-BE49-F238E27FC236}">
              <a16:creationId xmlns:a16="http://schemas.microsoft.com/office/drawing/2014/main" id="{B9F6CFC2-C6DE-4623-861A-86F14DCA2E19}"/>
            </a:ext>
          </a:extLst>
        </xdr:cNvPr>
        <xdr:cNvGrpSpPr/>
      </xdr:nvGrpSpPr>
      <xdr:grpSpPr>
        <a:xfrm>
          <a:off x="16287750" y="5429250"/>
          <a:ext cx="2924175" cy="2000250"/>
          <a:chOff x="0" y="61912"/>
          <a:chExt cx="2286000" cy="2176463"/>
        </a:xfrm>
      </xdr:grpSpPr>
      <xdr:graphicFrame macro="">
        <xdr:nvGraphicFramePr>
          <xdr:cNvPr id="18" name="Chart 17">
            <a:extLst>
              <a:ext uri="{FF2B5EF4-FFF2-40B4-BE49-F238E27FC236}">
                <a16:creationId xmlns:a16="http://schemas.microsoft.com/office/drawing/2014/main" id="{558F9F2A-933D-1BBC-47E4-8F9EFD67F735}"/>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61E004B2-220A-8AB0-AABE-A2DB33F1A4C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Michigan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15</xdr:col>
      <xdr:colOff>85725</xdr:colOff>
      <xdr:row>9</xdr:row>
      <xdr:rowOff>164782</xdr:rowOff>
    </xdr:from>
    <xdr:to>
      <xdr:col>16</xdr:col>
      <xdr:colOff>361950</xdr:colOff>
      <xdr:row>12</xdr:row>
      <xdr:rowOff>18097</xdr:rowOff>
    </xdr:to>
    <xdr:sp macro="" textlink="">
      <xdr:nvSpPr>
        <xdr:cNvPr id="21" name="Text Box 2">
          <a:extLst>
            <a:ext uri="{FF2B5EF4-FFF2-40B4-BE49-F238E27FC236}">
              <a16:creationId xmlns:a16="http://schemas.microsoft.com/office/drawing/2014/main" id="{B2DA1C79-E6D7-E9A9-9B9A-55D3DDFDD76C}"/>
            </a:ext>
          </a:extLst>
        </xdr:cNvPr>
        <xdr:cNvSpPr txBox="1">
          <a:spLocks noChangeArrowheads="1"/>
        </xdr:cNvSpPr>
      </xdr:nvSpPr>
      <xdr:spPr bwMode="auto">
        <a:xfrm>
          <a:off x="11525250" y="232695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16</xdr:col>
      <xdr:colOff>361950</xdr:colOff>
      <xdr:row>9</xdr:row>
      <xdr:rowOff>164782</xdr:rowOff>
    </xdr:from>
    <xdr:to>
      <xdr:col>18</xdr:col>
      <xdr:colOff>238125</xdr:colOff>
      <xdr:row>12</xdr:row>
      <xdr:rowOff>18097</xdr:rowOff>
    </xdr:to>
    <xdr:sp macro="" textlink="">
      <xdr:nvSpPr>
        <xdr:cNvPr id="22" name="Text Box 2">
          <a:extLst>
            <a:ext uri="{FF2B5EF4-FFF2-40B4-BE49-F238E27FC236}">
              <a16:creationId xmlns:a16="http://schemas.microsoft.com/office/drawing/2014/main" id="{5C634249-4235-8704-3C15-5842D3E1F4E8}"/>
            </a:ext>
          </a:extLst>
        </xdr:cNvPr>
        <xdr:cNvSpPr txBox="1">
          <a:spLocks noChangeArrowheads="1"/>
        </xdr:cNvSpPr>
      </xdr:nvSpPr>
      <xdr:spPr bwMode="auto">
        <a:xfrm>
          <a:off x="12411075" y="232695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238125</xdr:colOff>
      <xdr:row>9</xdr:row>
      <xdr:rowOff>164782</xdr:rowOff>
    </xdr:from>
    <xdr:to>
      <xdr:col>19</xdr:col>
      <xdr:colOff>514350</xdr:colOff>
      <xdr:row>12</xdr:row>
      <xdr:rowOff>18097</xdr:rowOff>
    </xdr:to>
    <xdr:sp macro="" textlink="">
      <xdr:nvSpPr>
        <xdr:cNvPr id="23" name="Text Box 2">
          <a:extLst>
            <a:ext uri="{FF2B5EF4-FFF2-40B4-BE49-F238E27FC236}">
              <a16:creationId xmlns:a16="http://schemas.microsoft.com/office/drawing/2014/main" id="{84A94974-3DEC-B31C-3452-E39D5F8E6288}"/>
            </a:ext>
          </a:extLst>
        </xdr:cNvPr>
        <xdr:cNvSpPr txBox="1">
          <a:spLocks noChangeArrowheads="1"/>
        </xdr:cNvSpPr>
      </xdr:nvSpPr>
      <xdr:spPr bwMode="auto">
        <a:xfrm>
          <a:off x="13296900" y="232695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19</xdr:col>
      <xdr:colOff>514350</xdr:colOff>
      <xdr:row>9</xdr:row>
      <xdr:rowOff>164782</xdr:rowOff>
    </xdr:from>
    <xdr:to>
      <xdr:col>21</xdr:col>
      <xdr:colOff>209550</xdr:colOff>
      <xdr:row>12</xdr:row>
      <xdr:rowOff>18097</xdr:rowOff>
    </xdr:to>
    <xdr:sp macro="" textlink="">
      <xdr:nvSpPr>
        <xdr:cNvPr id="24" name="Text Box 2">
          <a:extLst>
            <a:ext uri="{FF2B5EF4-FFF2-40B4-BE49-F238E27FC236}">
              <a16:creationId xmlns:a16="http://schemas.microsoft.com/office/drawing/2014/main" id="{7D99C386-372E-AFF9-4FED-F28997EF9C67}"/>
            </a:ext>
          </a:extLst>
        </xdr:cNvPr>
        <xdr:cNvSpPr txBox="1">
          <a:spLocks noChangeArrowheads="1"/>
        </xdr:cNvSpPr>
      </xdr:nvSpPr>
      <xdr:spPr bwMode="auto">
        <a:xfrm>
          <a:off x="14182725" y="232695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21</xdr:col>
      <xdr:colOff>190500</xdr:colOff>
      <xdr:row>9</xdr:row>
      <xdr:rowOff>164782</xdr:rowOff>
    </xdr:from>
    <xdr:to>
      <xdr:col>22</xdr:col>
      <xdr:colOff>466725</xdr:colOff>
      <xdr:row>12</xdr:row>
      <xdr:rowOff>18097</xdr:rowOff>
    </xdr:to>
    <xdr:sp macro="" textlink="">
      <xdr:nvSpPr>
        <xdr:cNvPr id="25" name="Text Box 2">
          <a:extLst>
            <a:ext uri="{FF2B5EF4-FFF2-40B4-BE49-F238E27FC236}">
              <a16:creationId xmlns:a16="http://schemas.microsoft.com/office/drawing/2014/main" id="{8A21689A-F4E1-5968-8EFB-B01672B67B39}"/>
            </a:ext>
          </a:extLst>
        </xdr:cNvPr>
        <xdr:cNvSpPr txBox="1">
          <a:spLocks noChangeArrowheads="1"/>
        </xdr:cNvSpPr>
      </xdr:nvSpPr>
      <xdr:spPr bwMode="auto">
        <a:xfrm>
          <a:off x="15049500" y="232695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94%</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EE0B7E9-28C7-4175-89FD-0DA0324A258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22</xdr:row>
      <xdr:rowOff>190499</xdr:rowOff>
    </xdr:to>
    <xdr:graphicFrame macro="">
      <xdr:nvGraphicFramePr>
        <xdr:cNvPr id="3" name="Chart 2">
          <a:extLst>
            <a:ext uri="{FF2B5EF4-FFF2-40B4-BE49-F238E27FC236}">
              <a16:creationId xmlns:a16="http://schemas.microsoft.com/office/drawing/2014/main" id="{8C996C70-66F6-4B1B-B71C-FA443AE1C3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25</xdr:row>
      <xdr:rowOff>0</xdr:rowOff>
    </xdr:from>
    <xdr:to>
      <xdr:col>14</xdr:col>
      <xdr:colOff>238126</xdr:colOff>
      <xdr:row>28</xdr:row>
      <xdr:rowOff>104775</xdr:rowOff>
    </xdr:to>
    <xdr:sp macro="" textlink="">
      <xdr:nvSpPr>
        <xdr:cNvPr id="4" name="TextBox 3">
          <a:extLst>
            <a:ext uri="{FF2B5EF4-FFF2-40B4-BE49-F238E27FC236}">
              <a16:creationId xmlns:a16="http://schemas.microsoft.com/office/drawing/2014/main" id="{E6569ACB-3A1B-420E-99C4-BEB1CD1C3C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22</xdr:row>
      <xdr:rowOff>160020</xdr:rowOff>
    </xdr:from>
    <xdr:to>
      <xdr:col>34</xdr:col>
      <xdr:colOff>1419225</xdr:colOff>
      <xdr:row>45</xdr:row>
      <xdr:rowOff>28575</xdr:rowOff>
    </xdr:to>
    <xdr:graphicFrame macro="">
      <xdr:nvGraphicFramePr>
        <xdr:cNvPr id="5" name="Chart 4">
          <a:extLst>
            <a:ext uri="{FF2B5EF4-FFF2-40B4-BE49-F238E27FC236}">
              <a16:creationId xmlns:a16="http://schemas.microsoft.com/office/drawing/2014/main" id="{C2F97F1F-A23D-438D-BED1-C0EC44E32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Aide/Floater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584493B-67DD-47A4-A1F2-11E0CD32E980}"/>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025D4D35-694D-4782-B926-841F4CDBC6C3}"/>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5C89C6A2-558F-8329-2381-E85820392B87}"/>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42745C9B-2DD8-A4DB-E4E5-AC8988900D3B}"/>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A2B1252D-1E57-F491-B538-C994206B42B9}"/>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4A7E968D-E4C0-3033-B1A2-69FAAA5DB7CE}"/>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AABD7A9B-8EF5-5959-0346-B4CF912F00FF}"/>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3A86D261-A616-7A06-94B0-1BAA6EB8B2F2}"/>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61765B92-5E83-DB97-5F44-EE766D7DDBD6}"/>
              </a:ext>
            </a:extLst>
          </xdr:cNvPr>
          <xdr:cNvSpPr txBox="1"/>
        </xdr:nvSpPr>
        <xdr:spPr>
          <a:xfrm>
            <a:off x="8311755" y="11289161"/>
            <a:ext cx="1964812" cy="32583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Aide/Floater</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42E8D0FB-082B-4985-ACC8-D4A4240604C1}"/>
            </a:ext>
          </a:extLst>
        </xdr:cNvPr>
        <xdr:cNvSpPr txBox="1"/>
      </xdr:nvSpPr>
      <xdr:spPr>
        <a:xfrm>
          <a:off x="6153150" y="5810250"/>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AF89A96-2A1F-4DCD-828E-E45F1A2BAA65}"/>
            </a:ext>
          </a:extLst>
        </xdr:cNvPr>
        <xdr:cNvSpPr/>
      </xdr:nvSpPr>
      <xdr:spPr>
        <a:xfrm>
          <a:off x="1" y="22224"/>
          <a:ext cx="1952624"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4" name="Group 3">
          <a:extLst>
            <a:ext uri="{FF2B5EF4-FFF2-40B4-BE49-F238E27FC236}">
              <a16:creationId xmlns:a16="http://schemas.microsoft.com/office/drawing/2014/main" id="{1EBC4AC8-3554-487B-A0FE-F2B2C111A31D}"/>
            </a:ext>
          </a:extLst>
        </xdr:cNvPr>
        <xdr:cNvGrpSpPr/>
      </xdr:nvGrpSpPr>
      <xdr:grpSpPr>
        <a:xfrm>
          <a:off x="3173888" y="3529964"/>
          <a:ext cx="10721182" cy="4053840"/>
          <a:chOff x="3432968" y="3571874"/>
          <a:chExt cx="9730582" cy="4048125"/>
        </a:xfrm>
      </xdr:grpSpPr>
      <xdr:graphicFrame macro="">
        <xdr:nvGraphicFramePr>
          <xdr:cNvPr id="5" name="Chart 4">
            <a:extLst>
              <a:ext uri="{FF2B5EF4-FFF2-40B4-BE49-F238E27FC236}">
                <a16:creationId xmlns:a16="http://schemas.microsoft.com/office/drawing/2014/main" id="{09850D0F-3979-5A2B-310F-3C586C270FC1}"/>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6" name="TextBox 5">
            <a:extLst>
              <a:ext uri="{FF2B5EF4-FFF2-40B4-BE49-F238E27FC236}">
                <a16:creationId xmlns:a16="http://schemas.microsoft.com/office/drawing/2014/main" id="{4ACC515C-18CE-3511-5EE8-75EAD313B580}"/>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Aide/Floater</a:t>
            </a:r>
            <a:r>
              <a:rPr lang="en-US" sz="1000" b="1">
                <a:solidFill>
                  <a:schemeClr val="tx1">
                    <a:lumMod val="65000"/>
                    <a:lumOff val="35000"/>
                  </a:schemeClr>
                </a:solidFill>
                <a:latin typeface="Arial" panose="020B0604020202020204" pitchFamily="34" charset="0"/>
                <a:cs typeface="Arial" panose="020B0604020202020204" pitchFamily="34" charset="0"/>
              </a:rPr>
              <a:t>, Michigan</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7" name="TextBox 6">
          <a:extLst>
            <a:ext uri="{FF2B5EF4-FFF2-40B4-BE49-F238E27FC236}">
              <a16:creationId xmlns:a16="http://schemas.microsoft.com/office/drawing/2014/main" id="{AE2BE716-A476-4F08-84AF-1685D1BEA9F8}"/>
            </a:ext>
          </a:extLst>
        </xdr:cNvPr>
        <xdr:cNvSpPr txBox="1"/>
      </xdr:nvSpPr>
      <xdr:spPr>
        <a:xfrm>
          <a:off x="514350" y="12096750"/>
          <a:ext cx="150495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9" name="Group 8">
          <a:extLst>
            <a:ext uri="{FF2B5EF4-FFF2-40B4-BE49-F238E27FC236}">
              <a16:creationId xmlns:a16="http://schemas.microsoft.com/office/drawing/2014/main" id="{A33C2869-6323-0051-F592-39BB8BE77A41}"/>
            </a:ext>
          </a:extLst>
        </xdr:cNvPr>
        <xdr:cNvGrpSpPr/>
      </xdr:nvGrpSpPr>
      <xdr:grpSpPr>
        <a:xfrm>
          <a:off x="9610997" y="440055"/>
          <a:ext cx="2626180" cy="2869256"/>
          <a:chOff x="9864362" y="434340"/>
          <a:chExt cx="2723335" cy="2768291"/>
        </a:xfrm>
      </xdr:grpSpPr>
      <xdr:graphicFrame macro="">
        <xdr:nvGraphicFramePr>
          <xdr:cNvPr id="3" name="Chart 2">
            <a:extLst>
              <a:ext uri="{FF2B5EF4-FFF2-40B4-BE49-F238E27FC236}">
                <a16:creationId xmlns:a16="http://schemas.microsoft.com/office/drawing/2014/main" id="{B62A30C9-F99A-4802-AC52-6A2A7E55EE45}"/>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653257F8-8268-4160-8B80-DEDED0C0FA00}"/>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Michigan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DB440551-1F03-41A6-A6FC-2440860CBCF3}"/>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F802AF9A-1896-48AB-8219-524EC4BC1190}"/>
            </a:ext>
          </a:extLst>
        </xdr:cNvPr>
        <xdr:cNvSpPr/>
      </xdr:nvSpPr>
      <xdr:spPr>
        <a:xfrm>
          <a:off x="1" y="22225"/>
          <a:ext cx="181927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104775</xdr:colOff>
      <xdr:row>4</xdr:row>
      <xdr:rowOff>28576</xdr:rowOff>
    </xdr:from>
    <xdr:to>
      <xdr:col>10</xdr:col>
      <xdr:colOff>266700</xdr:colOff>
      <xdr:row>12</xdr:row>
      <xdr:rowOff>47626</xdr:rowOff>
    </xdr:to>
    <xdr:sp macro="" textlink="">
      <xdr:nvSpPr>
        <xdr:cNvPr id="3" name="TextBox 2">
          <a:extLst>
            <a:ext uri="{FF2B5EF4-FFF2-40B4-BE49-F238E27FC236}">
              <a16:creationId xmlns:a16="http://schemas.microsoft.com/office/drawing/2014/main" id="{E5F1AC74-2A82-4D93-B0FB-62068DB1852F}"/>
            </a:ext>
          </a:extLst>
        </xdr:cNvPr>
        <xdr:cNvSpPr txBox="1"/>
      </xdr:nvSpPr>
      <xdr:spPr>
        <a:xfrm>
          <a:off x="4305300" y="876301"/>
          <a:ext cx="395287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twoCellAnchor>
    <xdr:from>
      <xdr:col>0</xdr:col>
      <xdr:colOff>45719</xdr:colOff>
      <xdr:row>88</xdr:row>
      <xdr:rowOff>129540</xdr:rowOff>
    </xdr:from>
    <xdr:to>
      <xdr:col>5</xdr:col>
      <xdr:colOff>502919</xdr:colOff>
      <xdr:row>92</xdr:row>
      <xdr:rowOff>53340</xdr:rowOff>
    </xdr:to>
    <xdr:sp macro="" textlink="">
      <xdr:nvSpPr>
        <xdr:cNvPr id="4" name="TextBox 3">
          <a:extLst>
            <a:ext uri="{FF2B5EF4-FFF2-40B4-BE49-F238E27FC236}">
              <a16:creationId xmlns:a16="http://schemas.microsoft.com/office/drawing/2014/main" id="{A8ED542F-68A6-4DA8-B0A0-8922E5125630}"/>
            </a:ext>
          </a:extLst>
        </xdr:cNvPr>
        <xdr:cNvSpPr txBox="1"/>
      </xdr:nvSpPr>
      <xdr:spPr>
        <a:xfrm>
          <a:off x="45719" y="15841980"/>
          <a:ext cx="53949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28576</xdr:colOff>
      <xdr:row>0</xdr:row>
      <xdr:rowOff>22224</xdr:rowOff>
    </xdr:from>
    <xdr:to>
      <xdr:col>0</xdr:col>
      <xdr:colOff>1796195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63C1C0A1-6362-4F0A-AC62-C8108147B07A}"/>
            </a:ext>
          </a:extLst>
        </xdr:cNvPr>
        <xdr:cNvSpPr/>
      </xdr:nvSpPr>
      <xdr:spPr>
        <a:xfrm>
          <a:off x="28576" y="22224"/>
          <a:ext cx="1767619" cy="273051"/>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0</xdr:colOff>
      <xdr:row>23</xdr:row>
      <xdr:rowOff>180975</xdr:rowOff>
    </xdr:from>
    <xdr:to>
      <xdr:col>18</xdr:col>
      <xdr:colOff>600075</xdr:colOff>
      <xdr:row>27</xdr:row>
      <xdr:rowOff>104775</xdr:rowOff>
    </xdr:to>
    <xdr:sp macro="" textlink="">
      <xdr:nvSpPr>
        <xdr:cNvPr id="5" name="TextBox 4">
          <a:extLst>
            <a:ext uri="{FF2B5EF4-FFF2-40B4-BE49-F238E27FC236}">
              <a16:creationId xmlns:a16="http://schemas.microsoft.com/office/drawing/2014/main" id="{996C3A36-875C-4048-BEB2-28CC8B48265A}"/>
            </a:ext>
          </a:extLst>
        </xdr:cNvPr>
        <xdr:cNvSpPr txBox="1"/>
      </xdr:nvSpPr>
      <xdr:spPr>
        <a:xfrm>
          <a:off x="0" y="4648200"/>
          <a:ext cx="123920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38</xdr:row>
      <xdr:rowOff>19050</xdr:rowOff>
    </xdr:from>
    <xdr:to>
      <xdr:col>19</xdr:col>
      <xdr:colOff>9525</xdr:colOff>
      <xdr:row>41</xdr:row>
      <xdr:rowOff>133350</xdr:rowOff>
    </xdr:to>
    <xdr:sp macro="" textlink="">
      <xdr:nvSpPr>
        <xdr:cNvPr id="6" name="TextBox 5">
          <a:extLst>
            <a:ext uri="{FF2B5EF4-FFF2-40B4-BE49-F238E27FC236}">
              <a16:creationId xmlns:a16="http://schemas.microsoft.com/office/drawing/2014/main" id="{F569A06B-E9E3-4123-AFC3-259F031239F8}"/>
            </a:ext>
          </a:extLst>
        </xdr:cNvPr>
        <xdr:cNvSpPr txBox="1"/>
      </xdr:nvSpPr>
      <xdr:spPr>
        <a:xfrm>
          <a:off x="0" y="7381875"/>
          <a:ext cx="124110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186689</xdr:colOff>
      <xdr:row>0</xdr:row>
      <xdr:rowOff>192405</xdr:rowOff>
    </xdr:from>
    <xdr:to>
      <xdr:col>32</xdr:col>
      <xdr:colOff>2177415</xdr:colOff>
      <xdr:row>26</xdr:row>
      <xdr:rowOff>116205</xdr:rowOff>
    </xdr:to>
    <xdr:grpSp>
      <xdr:nvGrpSpPr>
        <xdr:cNvPr id="7" name="Group 6">
          <a:extLst>
            <a:ext uri="{FF2B5EF4-FFF2-40B4-BE49-F238E27FC236}">
              <a16:creationId xmlns:a16="http://schemas.microsoft.com/office/drawing/2014/main" id="{163D7E56-9AA8-421A-8E2C-33B63E15C0E6}"/>
            </a:ext>
          </a:extLst>
        </xdr:cNvPr>
        <xdr:cNvGrpSpPr/>
      </xdr:nvGrpSpPr>
      <xdr:grpSpPr>
        <a:xfrm>
          <a:off x="13369289" y="192405"/>
          <a:ext cx="9963151" cy="4991100"/>
          <a:chOff x="2571749" y="704319"/>
          <a:chExt cx="9877426" cy="4371975"/>
        </a:xfrm>
      </xdr:grpSpPr>
      <xdr:graphicFrame macro="">
        <xdr:nvGraphicFramePr>
          <xdr:cNvPr id="8" name="Chart 7">
            <a:extLst>
              <a:ext uri="{FF2B5EF4-FFF2-40B4-BE49-F238E27FC236}">
                <a16:creationId xmlns:a16="http://schemas.microsoft.com/office/drawing/2014/main" id="{C9EFD3A9-2F81-F590-C67E-5BC43142BA39}"/>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9" name="Group 8">
            <a:extLst>
              <a:ext uri="{FF2B5EF4-FFF2-40B4-BE49-F238E27FC236}">
                <a16:creationId xmlns:a16="http://schemas.microsoft.com/office/drawing/2014/main" id="{B67E27BE-5D42-8FE6-584B-8B3C8630C5A0}"/>
              </a:ext>
            </a:extLst>
          </xdr:cNvPr>
          <xdr:cNvGrpSpPr/>
        </xdr:nvGrpSpPr>
        <xdr:grpSpPr>
          <a:xfrm>
            <a:off x="3095625" y="3200948"/>
            <a:ext cx="9353550" cy="680630"/>
            <a:chOff x="3095625" y="3200948"/>
            <a:chExt cx="9353550" cy="680630"/>
          </a:xfrm>
        </xdr:grpSpPr>
        <xdr:cxnSp macro="">
          <xdr:nvCxnSpPr>
            <xdr:cNvPr id="10" name="Straight Connector 9">
              <a:extLst>
                <a:ext uri="{FF2B5EF4-FFF2-40B4-BE49-F238E27FC236}">
                  <a16:creationId xmlns:a16="http://schemas.microsoft.com/office/drawing/2014/main" id="{71F6C300-6929-E908-07DC-B49870169B83}"/>
                </a:ext>
              </a:extLst>
            </xdr:cNvPr>
            <xdr:cNvCxnSpPr/>
          </xdr:nvCxnSpPr>
          <xdr:spPr>
            <a:xfrm flipV="1">
              <a:off x="3095625" y="3856961"/>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72A1AF71-B9D2-4D97-AF67-2C4EDF08311B}"/>
                </a:ext>
              </a:extLst>
            </xdr:cNvPr>
            <xdr:cNvSpPr txBox="1"/>
          </xdr:nvSpPr>
          <xdr:spPr>
            <a:xfrm>
              <a:off x="10887076" y="3200948"/>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514349</xdr:colOff>
      <xdr:row>42</xdr:row>
      <xdr:rowOff>0</xdr:rowOff>
    </xdr:from>
    <xdr:to>
      <xdr:col>19</xdr:col>
      <xdr:colOff>19050</xdr:colOff>
      <xdr:row>46</xdr:row>
      <xdr:rowOff>57150</xdr:rowOff>
    </xdr:to>
    <xdr:sp macro="" textlink="">
      <xdr:nvSpPr>
        <xdr:cNvPr id="12" name="TextBox 11">
          <a:extLst>
            <a:ext uri="{FF2B5EF4-FFF2-40B4-BE49-F238E27FC236}">
              <a16:creationId xmlns:a16="http://schemas.microsoft.com/office/drawing/2014/main" id="{B59225DA-9176-46BE-ADDE-B9C4D8F17CE7}"/>
            </a:ext>
          </a:extLst>
        </xdr:cNvPr>
        <xdr:cNvSpPr txBox="1"/>
      </xdr:nvSpPr>
      <xdr:spPr>
        <a:xfrm>
          <a:off x="7181849" y="8124825"/>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1" u="none" strike="noStrike">
              <a:solidFill>
                <a:schemeClr val="dk1"/>
              </a:solidFill>
              <a:effectLst/>
              <a:latin typeface="+mn-lt"/>
              <a:ea typeface="+mn-ea"/>
              <a:cs typeface="+mn-cs"/>
            </a:rPr>
            <a:t>The Self-Sufficiency</a:t>
          </a:r>
          <a:r>
            <a:rPr lang="en-US" sz="1100" b="0" i="1" u="none" strike="noStrike" baseline="0">
              <a:solidFill>
                <a:schemeClr val="dk1"/>
              </a:solidFill>
              <a:effectLst/>
              <a:latin typeface="+mn-lt"/>
              <a:ea typeface="+mn-ea"/>
              <a:cs typeface="+mn-cs"/>
            </a:rPr>
            <a:t> Standard for Michigan 2023</a:t>
          </a:r>
          <a:endParaRPr lang="en-US" sz="1100" b="0" i="1"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Source: Center for Women's Welfare, University of Washington.</a:t>
          </a:r>
          <a:r>
            <a:rPr lang="en-US"/>
            <a:t> </a:t>
          </a:r>
          <a:r>
            <a:rPr lang="en-US" sz="1100" b="0" i="0" u="none" strike="noStrike">
              <a:solidFill>
                <a:schemeClr val="dk1"/>
              </a:solidFill>
              <a:effectLst/>
              <a:latin typeface="+mn-lt"/>
              <a:ea typeface="+mn-ea"/>
              <a:cs typeface="+mn-cs"/>
            </a:rPr>
            <a:t>For more information see http://www.selfsufficiencystandard.org/#state or contact cwwsss@uw.edu</a:t>
          </a:r>
          <a:r>
            <a:rPr lang="en-US"/>
            <a:t> </a:t>
          </a:r>
          <a:endParaRPr lang="en-US" sz="1100"/>
        </a:p>
      </xdr:txBody>
    </xdr:sp>
    <xdr:clientData/>
  </xdr:twoCellAnchor>
  <xdr:twoCellAnchor>
    <xdr:from>
      <xdr:col>19</xdr:col>
      <xdr:colOff>180975</xdr:colOff>
      <xdr:row>27</xdr:row>
      <xdr:rowOff>38100</xdr:rowOff>
    </xdr:from>
    <xdr:to>
      <xdr:col>32</xdr:col>
      <xdr:colOff>2162176</xdr:colOff>
      <xdr:row>54</xdr:row>
      <xdr:rowOff>9525</xdr:rowOff>
    </xdr:to>
    <xdr:grpSp>
      <xdr:nvGrpSpPr>
        <xdr:cNvPr id="13" name="Group 12">
          <a:extLst>
            <a:ext uri="{FF2B5EF4-FFF2-40B4-BE49-F238E27FC236}">
              <a16:creationId xmlns:a16="http://schemas.microsoft.com/office/drawing/2014/main" id="{AE1099C5-5FAA-4BF5-A2E4-229830E8210B}"/>
            </a:ext>
          </a:extLst>
        </xdr:cNvPr>
        <xdr:cNvGrpSpPr/>
      </xdr:nvGrpSpPr>
      <xdr:grpSpPr>
        <a:xfrm>
          <a:off x="13363575" y="5295900"/>
          <a:ext cx="9953626" cy="4933950"/>
          <a:chOff x="2571749" y="704319"/>
          <a:chExt cx="9867901" cy="4371975"/>
        </a:xfrm>
      </xdr:grpSpPr>
      <xdr:graphicFrame macro="">
        <xdr:nvGraphicFramePr>
          <xdr:cNvPr id="14" name="Chart 13">
            <a:extLst>
              <a:ext uri="{FF2B5EF4-FFF2-40B4-BE49-F238E27FC236}">
                <a16:creationId xmlns:a16="http://schemas.microsoft.com/office/drawing/2014/main" id="{38BF96AD-F399-F5B9-2E75-C3B3FB330425}"/>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5" name="Group 14">
            <a:extLst>
              <a:ext uri="{FF2B5EF4-FFF2-40B4-BE49-F238E27FC236}">
                <a16:creationId xmlns:a16="http://schemas.microsoft.com/office/drawing/2014/main" id="{8B9202D6-CF06-AD69-5FF2-56805C00C329}"/>
              </a:ext>
            </a:extLst>
          </xdr:cNvPr>
          <xdr:cNvGrpSpPr/>
        </xdr:nvGrpSpPr>
        <xdr:grpSpPr>
          <a:xfrm>
            <a:off x="3095625" y="3299087"/>
            <a:ext cx="9344025" cy="680630"/>
            <a:chOff x="3095625" y="3299087"/>
            <a:chExt cx="9344025" cy="680630"/>
          </a:xfrm>
        </xdr:grpSpPr>
        <xdr:cxnSp macro="">
          <xdr:nvCxnSpPr>
            <xdr:cNvPr id="16" name="Straight Connector 15">
              <a:extLst>
                <a:ext uri="{FF2B5EF4-FFF2-40B4-BE49-F238E27FC236}">
                  <a16:creationId xmlns:a16="http://schemas.microsoft.com/office/drawing/2014/main" id="{75986F98-0E6D-FC88-66C5-198967B210D3}"/>
                </a:ext>
              </a:extLst>
            </xdr:cNvPr>
            <xdr:cNvCxnSpPr/>
          </xdr:nvCxnSpPr>
          <xdr:spPr>
            <a:xfrm flipV="1">
              <a:off x="3095625" y="3324760"/>
              <a:ext cx="8067675" cy="5524"/>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09A99A63-F8E0-7FFD-7634-60D08D29C13E}"/>
                </a:ext>
              </a:extLst>
            </xdr:cNvPr>
            <xdr:cNvSpPr txBox="1"/>
          </xdr:nvSpPr>
          <xdr:spPr>
            <a:xfrm>
              <a:off x="10877551" y="3299087"/>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0</xdr:col>
      <xdr:colOff>0</xdr:colOff>
      <xdr:row>9</xdr:row>
      <xdr:rowOff>24765</xdr:rowOff>
    </xdr:from>
    <xdr:to>
      <xdr:col>14</xdr:col>
      <xdr:colOff>9524</xdr:colOff>
      <xdr:row>13</xdr:row>
      <xdr:rowOff>190500</xdr:rowOff>
    </xdr:to>
    <xdr:sp macro="" textlink="">
      <xdr:nvSpPr>
        <xdr:cNvPr id="18" name="TextBox 17">
          <a:extLst>
            <a:ext uri="{FF2B5EF4-FFF2-40B4-BE49-F238E27FC236}">
              <a16:creationId xmlns:a16="http://schemas.microsoft.com/office/drawing/2014/main" id="{7F1F93D8-BB83-4AF3-8E71-B59E7B86E268}"/>
            </a:ext>
          </a:extLst>
        </xdr:cNvPr>
        <xdr:cNvSpPr txBox="1"/>
      </xdr:nvSpPr>
      <xdr:spPr>
        <a:xfrm>
          <a:off x="0" y="1876425"/>
          <a:ext cx="10723244"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aseline="0">
              <a:solidFill>
                <a:schemeClr val="dk1"/>
              </a:solidFill>
              <a:effectLst/>
              <a:latin typeface="Arial" panose="020B0604020202020204" pitchFamily="34" charset="0"/>
              <a:ea typeface="+mn-ea"/>
              <a:cs typeface="Arial" panose="020B0604020202020204" pitchFamily="34" charset="0"/>
            </a:rPr>
            <a:t>10% increase for long-term assignments, in which the responsibilites of the substitute more closely align with those of a lead teacher than an assistant teacher.</a:t>
          </a:r>
          <a:endParaRPr lang="en-US" sz="800" baseline="0">
            <a:latin typeface="Arial" panose="020B0604020202020204" pitchFamily="34" charset="0"/>
            <a:cs typeface="Arial" panose="020B0604020202020204" pitchFamily="34" charset="0"/>
          </a:endParaRP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334D6B5-DC1A-4391-851F-B018FDF9988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12</xdr:row>
      <xdr:rowOff>133350</xdr:rowOff>
    </xdr:from>
    <xdr:to>
      <xdr:col>2</xdr:col>
      <xdr:colOff>723424</xdr:colOff>
      <xdr:row>22</xdr:row>
      <xdr:rowOff>146295</xdr:rowOff>
    </xdr:to>
    <xdr:grpSp>
      <xdr:nvGrpSpPr>
        <xdr:cNvPr id="3" name="Group 2">
          <a:extLst>
            <a:ext uri="{FF2B5EF4-FFF2-40B4-BE49-F238E27FC236}">
              <a16:creationId xmlns:a16="http://schemas.microsoft.com/office/drawing/2014/main" id="{621C7A2C-534C-4446-BAF6-AD71BEF82632}"/>
            </a:ext>
          </a:extLst>
        </xdr:cNvPr>
        <xdr:cNvGrpSpPr/>
      </xdr:nvGrpSpPr>
      <xdr:grpSpPr>
        <a:xfrm>
          <a:off x="257175" y="2600325"/>
          <a:ext cx="2914174" cy="1917945"/>
          <a:chOff x="845599" y="2855134"/>
          <a:chExt cx="4546600" cy="3675464"/>
        </a:xfrm>
        <a:solidFill>
          <a:schemeClr val="bg1"/>
        </a:solidFill>
      </xdr:grpSpPr>
      <xdr:graphicFrame macro="">
        <xdr:nvGraphicFramePr>
          <xdr:cNvPr id="4" name="Chart 3">
            <a:extLst>
              <a:ext uri="{FF2B5EF4-FFF2-40B4-BE49-F238E27FC236}">
                <a16:creationId xmlns:a16="http://schemas.microsoft.com/office/drawing/2014/main" id="{60178F15-6D4C-0C91-CB59-7CB44314F469}"/>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CD1FAB1D-0956-76F0-5655-30437A9ABC77}"/>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Michigan, 2022</a:t>
            </a:r>
          </a:p>
        </xdr:txBody>
      </xdr:sp>
    </xdr:grpSp>
    <xdr:clientData/>
  </xdr:twoCellAnchor>
  <xdr:twoCellAnchor>
    <xdr:from>
      <xdr:col>4</xdr:col>
      <xdr:colOff>323850</xdr:colOff>
      <xdr:row>12</xdr:row>
      <xdr:rowOff>74295</xdr:rowOff>
    </xdr:from>
    <xdr:to>
      <xdr:col>6</xdr:col>
      <xdr:colOff>637698</xdr:colOff>
      <xdr:row>23</xdr:row>
      <xdr:rowOff>27146</xdr:rowOff>
    </xdr:to>
    <xdr:grpSp>
      <xdr:nvGrpSpPr>
        <xdr:cNvPr id="6" name="Group 5">
          <a:extLst>
            <a:ext uri="{FF2B5EF4-FFF2-40B4-BE49-F238E27FC236}">
              <a16:creationId xmlns:a16="http://schemas.microsoft.com/office/drawing/2014/main" id="{8FA17CCF-33F6-4174-B021-C15746C68693}"/>
            </a:ext>
          </a:extLst>
        </xdr:cNvPr>
        <xdr:cNvGrpSpPr/>
      </xdr:nvGrpSpPr>
      <xdr:grpSpPr>
        <a:xfrm>
          <a:off x="3790950" y="2541270"/>
          <a:ext cx="2914173" cy="2048351"/>
          <a:chOff x="3943350" y="4330769"/>
          <a:chExt cx="2914173" cy="2041932"/>
        </a:xfrm>
        <a:solidFill>
          <a:schemeClr val="bg1"/>
        </a:solidFill>
      </xdr:grpSpPr>
      <xdr:graphicFrame macro="">
        <xdr:nvGraphicFramePr>
          <xdr:cNvPr id="7" name="Chart 6">
            <a:extLst>
              <a:ext uri="{FF2B5EF4-FFF2-40B4-BE49-F238E27FC236}">
                <a16:creationId xmlns:a16="http://schemas.microsoft.com/office/drawing/2014/main" id="{4D4D6E1A-9027-551D-43F4-B463A983FF96}"/>
              </a:ext>
            </a:extLst>
          </xdr:cNvPr>
          <xdr:cNvGraphicFramePr>
            <a:graphicFrameLocks/>
          </xdr:cNvGraphicFramePr>
        </xdr:nvGraphicFramePr>
        <xdr:xfrm>
          <a:off x="4029075" y="4724399"/>
          <a:ext cx="2731295"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8" name="TextBox 7">
            <a:extLst>
              <a:ext uri="{FF2B5EF4-FFF2-40B4-BE49-F238E27FC236}">
                <a16:creationId xmlns:a16="http://schemas.microsoft.com/office/drawing/2014/main" id="{077D11E0-85E7-689D-73C4-D857FDA14C8B}"/>
              </a:ext>
            </a:extLst>
          </xdr:cNvPr>
          <xdr:cNvSpPr txBox="1"/>
        </xdr:nvSpPr>
        <xdr:spPr>
          <a:xfrm>
            <a:off x="3943350" y="4330769"/>
            <a:ext cx="2914173" cy="366310"/>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Michigan, 2022</a:t>
            </a:r>
          </a:p>
        </xdr:txBody>
      </xdr:sp>
    </xdr:grpSp>
    <xdr:clientData/>
  </xdr:twoCellAnchor>
  <xdr:twoCellAnchor>
    <xdr:from>
      <xdr:col>8</xdr:col>
      <xdr:colOff>428625</xdr:colOff>
      <xdr:row>12</xdr:row>
      <xdr:rowOff>142875</xdr:rowOff>
    </xdr:from>
    <xdr:to>
      <xdr:col>10</xdr:col>
      <xdr:colOff>266700</xdr:colOff>
      <xdr:row>23</xdr:row>
      <xdr:rowOff>477</xdr:rowOff>
    </xdr:to>
    <xdr:grpSp>
      <xdr:nvGrpSpPr>
        <xdr:cNvPr id="9" name="Group 8">
          <a:extLst>
            <a:ext uri="{FF2B5EF4-FFF2-40B4-BE49-F238E27FC236}">
              <a16:creationId xmlns:a16="http://schemas.microsoft.com/office/drawing/2014/main" id="{5BF2820F-023C-43E7-ADCD-75E11427A16A}"/>
            </a:ext>
          </a:extLst>
        </xdr:cNvPr>
        <xdr:cNvGrpSpPr/>
      </xdr:nvGrpSpPr>
      <xdr:grpSpPr>
        <a:xfrm>
          <a:off x="7572375" y="2609850"/>
          <a:ext cx="2933700" cy="1953102"/>
          <a:chOff x="3933825" y="4419600"/>
          <a:chExt cx="2933700" cy="1953102"/>
        </a:xfrm>
        <a:solidFill>
          <a:schemeClr val="bg1"/>
        </a:solidFill>
      </xdr:grpSpPr>
      <xdr:graphicFrame macro="">
        <xdr:nvGraphicFramePr>
          <xdr:cNvPr id="10" name="Chart 9">
            <a:extLst>
              <a:ext uri="{FF2B5EF4-FFF2-40B4-BE49-F238E27FC236}">
                <a16:creationId xmlns:a16="http://schemas.microsoft.com/office/drawing/2014/main" id="{529BA63C-DDC9-8B17-7119-BA9AA9491589}"/>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1" name="TextBox 10">
            <a:extLst>
              <a:ext uri="{FF2B5EF4-FFF2-40B4-BE49-F238E27FC236}">
                <a16:creationId xmlns:a16="http://schemas.microsoft.com/office/drawing/2014/main" id="{43314CB7-BAF7-2652-58C3-6F5603A288C7}"/>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Michigan, 2022</a:t>
            </a:r>
          </a:p>
        </xdr:txBody>
      </xdr:sp>
    </xdr:grpSp>
    <xdr:clientData/>
  </xdr:twoCellAnchor>
  <xdr:twoCellAnchor>
    <xdr:from>
      <xdr:col>12</xdr:col>
      <xdr:colOff>27940</xdr:colOff>
      <xdr:row>7</xdr:row>
      <xdr:rowOff>38100</xdr:rowOff>
    </xdr:from>
    <xdr:to>
      <xdr:col>15</xdr:col>
      <xdr:colOff>76199</xdr:colOff>
      <xdr:row>15</xdr:row>
      <xdr:rowOff>106045</xdr:rowOff>
    </xdr:to>
    <xdr:grpSp>
      <xdr:nvGrpSpPr>
        <xdr:cNvPr id="12" name="Group 11">
          <a:extLst>
            <a:ext uri="{FF2B5EF4-FFF2-40B4-BE49-F238E27FC236}">
              <a16:creationId xmlns:a16="http://schemas.microsoft.com/office/drawing/2014/main" id="{4ED63355-2FB2-4463-B722-0B4F7628F204}"/>
            </a:ext>
          </a:extLst>
        </xdr:cNvPr>
        <xdr:cNvGrpSpPr/>
      </xdr:nvGrpSpPr>
      <xdr:grpSpPr>
        <a:xfrm>
          <a:off x="11305540" y="1552575"/>
          <a:ext cx="2010409" cy="1591945"/>
          <a:chOff x="11629390" y="3400425"/>
          <a:chExt cx="2010409" cy="1591945"/>
        </a:xfrm>
        <a:solidFill>
          <a:schemeClr val="bg1"/>
        </a:solidFill>
      </xdr:grpSpPr>
      <xdr:sp macro="" textlink="">
        <xdr:nvSpPr>
          <xdr:cNvPr id="13" name="Text Box 86" descr="P306TB307bA#y1">
            <a:extLst>
              <a:ext uri="{FF2B5EF4-FFF2-40B4-BE49-F238E27FC236}">
                <a16:creationId xmlns:a16="http://schemas.microsoft.com/office/drawing/2014/main" id="{715CE3C7-F021-233C-7CC1-2F2890722A6F}"/>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Michigan,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4" name="Group 13">
            <a:extLst>
              <a:ext uri="{FF2B5EF4-FFF2-40B4-BE49-F238E27FC236}">
                <a16:creationId xmlns:a16="http://schemas.microsoft.com/office/drawing/2014/main" id="{5E066C64-AC54-CEC9-4641-B886AD81999D}"/>
              </a:ext>
            </a:extLst>
          </xdr:cNvPr>
          <xdr:cNvGrpSpPr/>
        </xdr:nvGrpSpPr>
        <xdr:grpSpPr>
          <a:xfrm>
            <a:off x="11717656" y="3837940"/>
            <a:ext cx="1922143" cy="1154430"/>
            <a:chOff x="201931" y="66675"/>
            <a:chExt cx="1922143" cy="1154430"/>
          </a:xfrm>
          <a:grpFill/>
        </xdr:grpSpPr>
        <xdr:sp macro="" textlink="">
          <xdr:nvSpPr>
            <xdr:cNvPr id="15" name="Text Box 16">
              <a:extLst>
                <a:ext uri="{FF2B5EF4-FFF2-40B4-BE49-F238E27FC236}">
                  <a16:creationId xmlns:a16="http://schemas.microsoft.com/office/drawing/2014/main" id="{9E7716CE-8C29-8BD4-9BC3-337B258FE497}"/>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72.4%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6" name="Group 15">
              <a:extLst>
                <a:ext uri="{FF2B5EF4-FFF2-40B4-BE49-F238E27FC236}">
                  <a16:creationId xmlns:a16="http://schemas.microsoft.com/office/drawing/2014/main" id="{07C130F1-83FA-0CD3-AF3B-1767EABF0BCD}"/>
                </a:ext>
              </a:extLst>
            </xdr:cNvPr>
            <xdr:cNvGrpSpPr/>
          </xdr:nvGrpSpPr>
          <xdr:grpSpPr>
            <a:xfrm>
              <a:off x="201931" y="66675"/>
              <a:ext cx="1804985" cy="1144905"/>
              <a:chOff x="201931" y="66675"/>
              <a:chExt cx="1804985" cy="1144905"/>
            </a:xfrm>
            <a:grpFill/>
          </xdr:grpSpPr>
          <xdr:sp macro="" textlink="">
            <xdr:nvSpPr>
              <xdr:cNvPr id="17" name="Text Box 15">
                <a:extLst>
                  <a:ext uri="{FF2B5EF4-FFF2-40B4-BE49-F238E27FC236}">
                    <a16:creationId xmlns:a16="http://schemas.microsoft.com/office/drawing/2014/main" id="{853A4611-B228-51FE-1D1F-D95AB580F107}"/>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27.6%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8" name="Graphic 4" descr="Man outline">
                <a:extLst>
                  <a:ext uri="{FF2B5EF4-FFF2-40B4-BE49-F238E27FC236}">
                    <a16:creationId xmlns:a16="http://schemas.microsoft.com/office/drawing/2014/main" id="{21BA1BAC-5241-9DD4-BF3A-E52E310673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9" name="Graphic 6" descr="Woman outline">
                <a:extLst>
                  <a:ext uri="{FF2B5EF4-FFF2-40B4-BE49-F238E27FC236}">
                    <a16:creationId xmlns:a16="http://schemas.microsoft.com/office/drawing/2014/main" id="{9A72C11A-1B65-FDEC-66C1-005A322E24E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23</xdr:row>
      <xdr:rowOff>95250</xdr:rowOff>
    </xdr:from>
    <xdr:to>
      <xdr:col>2</xdr:col>
      <xdr:colOff>657225</xdr:colOff>
      <xdr:row>26</xdr:row>
      <xdr:rowOff>171450</xdr:rowOff>
    </xdr:to>
    <xdr:sp macro="" textlink="">
      <xdr:nvSpPr>
        <xdr:cNvPr id="20" name="TextBox 19">
          <a:extLst>
            <a:ext uri="{FF2B5EF4-FFF2-40B4-BE49-F238E27FC236}">
              <a16:creationId xmlns:a16="http://schemas.microsoft.com/office/drawing/2014/main" id="{764ABD21-E4C2-44CD-9AD2-98B9C068277B}"/>
            </a:ext>
          </a:extLst>
        </xdr:cNvPr>
        <xdr:cNvSpPr txBox="1"/>
      </xdr:nvSpPr>
      <xdr:spPr>
        <a:xfrm>
          <a:off x="66675" y="4507230"/>
          <a:ext cx="311277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23</xdr:row>
      <xdr:rowOff>133350</xdr:rowOff>
    </xdr:from>
    <xdr:to>
      <xdr:col>6</xdr:col>
      <xdr:colOff>704850</xdr:colOff>
      <xdr:row>27</xdr:row>
      <xdr:rowOff>19050</xdr:rowOff>
    </xdr:to>
    <xdr:sp macro="" textlink="">
      <xdr:nvSpPr>
        <xdr:cNvPr id="21" name="TextBox 20">
          <a:extLst>
            <a:ext uri="{FF2B5EF4-FFF2-40B4-BE49-F238E27FC236}">
              <a16:creationId xmlns:a16="http://schemas.microsoft.com/office/drawing/2014/main" id="{D43AAE09-D2A3-4EE0-B9F0-FD29A547DD47}"/>
            </a:ext>
          </a:extLst>
        </xdr:cNvPr>
        <xdr:cNvSpPr txBox="1"/>
      </xdr:nvSpPr>
      <xdr:spPr>
        <a:xfrm>
          <a:off x="3792855" y="4545330"/>
          <a:ext cx="316039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23</xdr:row>
      <xdr:rowOff>123825</xdr:rowOff>
    </xdr:from>
    <xdr:to>
      <xdr:col>10</xdr:col>
      <xdr:colOff>333375</xdr:colOff>
      <xdr:row>27</xdr:row>
      <xdr:rowOff>9525</xdr:rowOff>
    </xdr:to>
    <xdr:sp macro="" textlink="">
      <xdr:nvSpPr>
        <xdr:cNvPr id="22" name="TextBox 21">
          <a:extLst>
            <a:ext uri="{FF2B5EF4-FFF2-40B4-BE49-F238E27FC236}">
              <a16:creationId xmlns:a16="http://schemas.microsoft.com/office/drawing/2014/main" id="{92354EE8-93FA-45CF-9FBD-6123E0E0413F}"/>
            </a:ext>
          </a:extLst>
        </xdr:cNvPr>
        <xdr:cNvSpPr txBox="1"/>
      </xdr:nvSpPr>
      <xdr:spPr>
        <a:xfrm>
          <a:off x="7703820" y="4535805"/>
          <a:ext cx="3175635"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15</xdr:row>
      <xdr:rowOff>133350</xdr:rowOff>
    </xdr:from>
    <xdr:to>
      <xdr:col>17</xdr:col>
      <xdr:colOff>219075</xdr:colOff>
      <xdr:row>19</xdr:row>
      <xdr:rowOff>19050</xdr:rowOff>
    </xdr:to>
    <xdr:sp macro="" textlink="">
      <xdr:nvSpPr>
        <xdr:cNvPr id="23" name="TextBox 22">
          <a:extLst>
            <a:ext uri="{FF2B5EF4-FFF2-40B4-BE49-F238E27FC236}">
              <a16:creationId xmlns:a16="http://schemas.microsoft.com/office/drawing/2014/main" id="{0CA194BF-C475-47E8-85A6-70F0EAACDE40}"/>
            </a:ext>
          </a:extLst>
        </xdr:cNvPr>
        <xdr:cNvSpPr txBox="1"/>
      </xdr:nvSpPr>
      <xdr:spPr>
        <a:xfrm>
          <a:off x="11584305" y="3082290"/>
          <a:ext cx="3173730" cy="617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E0372D1C-F8FB-458F-AD28-1A3A0374F400}"/>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7</xdr:col>
      <xdr:colOff>485772</xdr:colOff>
      <xdr:row>1</xdr:row>
      <xdr:rowOff>95250</xdr:rowOff>
    </xdr:from>
    <xdr:to>
      <xdr:col>14</xdr:col>
      <xdr:colOff>152397</xdr:colOff>
      <xdr:row>15</xdr:row>
      <xdr:rowOff>85725</xdr:rowOff>
    </xdr:to>
    <xdr:grpSp>
      <xdr:nvGrpSpPr>
        <xdr:cNvPr id="3" name="Group 2">
          <a:extLst>
            <a:ext uri="{FF2B5EF4-FFF2-40B4-BE49-F238E27FC236}">
              <a16:creationId xmlns:a16="http://schemas.microsoft.com/office/drawing/2014/main" id="{52BD66F1-5101-4F5E-89AC-A1F47E26AF2B}"/>
            </a:ext>
          </a:extLst>
        </xdr:cNvPr>
        <xdr:cNvGrpSpPr/>
      </xdr:nvGrpSpPr>
      <xdr:grpSpPr>
        <a:xfrm>
          <a:off x="7305672" y="390525"/>
          <a:ext cx="3781425" cy="3009900"/>
          <a:chOff x="5307668" y="638294"/>
          <a:chExt cx="3076933" cy="3019306"/>
        </a:xfrm>
      </xdr:grpSpPr>
      <xdr:graphicFrame macro="">
        <xdr:nvGraphicFramePr>
          <xdr:cNvPr id="4" name="Chart 3">
            <a:extLst>
              <a:ext uri="{FF2B5EF4-FFF2-40B4-BE49-F238E27FC236}">
                <a16:creationId xmlns:a16="http://schemas.microsoft.com/office/drawing/2014/main" id="{60903E1F-AC30-E49E-435F-BE8787A7C360}"/>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ACF8D2DB-1D8C-B8F8-AB19-223A8CD007B1}"/>
              </a:ext>
            </a:extLst>
          </xdr:cNvPr>
          <xdr:cNvSpPr txBox="1"/>
        </xdr:nvSpPr>
        <xdr:spPr>
          <a:xfrm>
            <a:off x="5307668" y="638294"/>
            <a:ext cx="307693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prstClr val="black">
                    <a:lumMod val="65000"/>
                    <a:lumOff val="35000"/>
                  </a:prstClr>
                </a:solidFill>
                <a:effectLst/>
                <a:uLnTx/>
                <a:uFillTx/>
                <a:latin typeface="Arial" panose="020B0604020202020204" pitchFamily="34" charset="0"/>
                <a:ea typeface="+mn-ea"/>
                <a:cs typeface="Arial" panose="020B0604020202020204" pitchFamily="34" charset="0"/>
              </a:rPr>
              <a:t>Share of Skills Overlap with Substitute</a:t>
            </a:r>
          </a:p>
        </xdr:txBody>
      </xdr:sp>
    </xdr:grpSp>
    <xdr:clientData/>
  </xdr:twoCellAnchor>
  <xdr:twoCellAnchor>
    <xdr:from>
      <xdr:col>1</xdr:col>
      <xdr:colOff>76199</xdr:colOff>
      <xdr:row>53</xdr:row>
      <xdr:rowOff>47625</xdr:rowOff>
    </xdr:from>
    <xdr:to>
      <xdr:col>14</xdr:col>
      <xdr:colOff>314325</xdr:colOff>
      <xdr:row>56</xdr:row>
      <xdr:rowOff>123825</xdr:rowOff>
    </xdr:to>
    <xdr:sp macro="" textlink="">
      <xdr:nvSpPr>
        <xdr:cNvPr id="6" name="TextBox 5">
          <a:extLst>
            <a:ext uri="{FF2B5EF4-FFF2-40B4-BE49-F238E27FC236}">
              <a16:creationId xmlns:a16="http://schemas.microsoft.com/office/drawing/2014/main" id="{ABFEC616-A1D9-4CE3-8162-57017AB86EF8}"/>
            </a:ext>
          </a:extLst>
        </xdr:cNvPr>
        <xdr:cNvSpPr txBox="1"/>
      </xdr:nvSpPr>
      <xdr:spPr>
        <a:xfrm>
          <a:off x="2581274" y="10715625"/>
          <a:ext cx="866775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171450</xdr:colOff>
      <xdr:row>2</xdr:row>
      <xdr:rowOff>33337</xdr:rowOff>
    </xdr:from>
    <xdr:to>
      <xdr:col>26</xdr:col>
      <xdr:colOff>221164</xdr:colOff>
      <xdr:row>14</xdr:row>
      <xdr:rowOff>138112</xdr:rowOff>
    </xdr:to>
    <xdr:grpSp>
      <xdr:nvGrpSpPr>
        <xdr:cNvPr id="7" name="Group 6">
          <a:extLst>
            <a:ext uri="{FF2B5EF4-FFF2-40B4-BE49-F238E27FC236}">
              <a16:creationId xmlns:a16="http://schemas.microsoft.com/office/drawing/2014/main" id="{7885A8EA-74ED-48DE-8C0C-7D98F5C8099C}"/>
            </a:ext>
          </a:extLst>
        </xdr:cNvPr>
        <xdr:cNvGrpSpPr/>
      </xdr:nvGrpSpPr>
      <xdr:grpSpPr>
        <a:xfrm>
          <a:off x="11106150" y="519112"/>
          <a:ext cx="6755314" cy="2743200"/>
          <a:chOff x="11340465" y="496252"/>
          <a:chExt cx="10207188" cy="2953703"/>
        </a:xfrm>
      </xdr:grpSpPr>
      <xdr:grpSp>
        <xdr:nvGrpSpPr>
          <xdr:cNvPr id="8" name="Group 7">
            <a:extLst>
              <a:ext uri="{FF2B5EF4-FFF2-40B4-BE49-F238E27FC236}">
                <a16:creationId xmlns:a16="http://schemas.microsoft.com/office/drawing/2014/main" id="{BF072469-4361-9C17-08A8-F2AE875FA206}"/>
              </a:ext>
            </a:extLst>
          </xdr:cNvPr>
          <xdr:cNvGrpSpPr/>
        </xdr:nvGrpSpPr>
        <xdr:grpSpPr>
          <a:xfrm>
            <a:off x="11340465" y="496252"/>
            <a:ext cx="10207188" cy="2953703"/>
            <a:chOff x="11182350" y="500062"/>
            <a:chExt cx="10600408" cy="3252788"/>
          </a:xfrm>
        </xdr:grpSpPr>
        <xdr:grpSp>
          <xdr:nvGrpSpPr>
            <xdr:cNvPr id="11" name="Group 10">
              <a:extLst>
                <a:ext uri="{FF2B5EF4-FFF2-40B4-BE49-F238E27FC236}">
                  <a16:creationId xmlns:a16="http://schemas.microsoft.com/office/drawing/2014/main" id="{7C90A583-4C81-1C1C-4EA6-1D253CE79BFE}"/>
                </a:ext>
              </a:extLst>
            </xdr:cNvPr>
            <xdr:cNvGrpSpPr/>
          </xdr:nvGrpSpPr>
          <xdr:grpSpPr>
            <a:xfrm>
              <a:off x="11182350" y="500062"/>
              <a:ext cx="10600408" cy="3252788"/>
              <a:chOff x="8410575" y="538162"/>
              <a:chExt cx="10620581" cy="2909888"/>
            </a:xfrm>
            <a:solidFill>
              <a:schemeClr val="bg1"/>
            </a:solidFill>
          </xdr:grpSpPr>
          <xdr:graphicFrame macro="">
            <xdr:nvGraphicFramePr>
              <xdr:cNvPr id="14" name="Chart 13">
                <a:extLst>
                  <a:ext uri="{FF2B5EF4-FFF2-40B4-BE49-F238E27FC236}">
                    <a16:creationId xmlns:a16="http://schemas.microsoft.com/office/drawing/2014/main" id="{8487A406-10FB-568E-84E1-2E10FFF8FFAB}"/>
                  </a:ext>
                </a:extLst>
              </xdr:cNvPr>
              <xdr:cNvGraphicFramePr/>
            </xdr:nvGraphicFramePr>
            <xdr:xfrm>
              <a:off x="8410575" y="538162"/>
              <a:ext cx="7719925"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5" name="TextBox 14">
                <a:extLst>
                  <a:ext uri="{FF2B5EF4-FFF2-40B4-BE49-F238E27FC236}">
                    <a16:creationId xmlns:a16="http://schemas.microsoft.com/office/drawing/2014/main" id="{A0CEFE89-2FA9-A5F7-00CE-1066F6FA1768}"/>
                  </a:ext>
                </a:extLst>
              </xdr:cNvPr>
              <xdr:cNvSpPr txBox="1"/>
            </xdr:nvSpPr>
            <xdr:spPr>
              <a:xfrm>
                <a:off x="8695101" y="542925"/>
                <a:ext cx="10197995" cy="232676"/>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Michigan, 2022</a:t>
                </a:r>
              </a:p>
            </xdr:txBody>
          </xdr:sp>
          <xdr:cxnSp macro="">
            <xdr:nvCxnSpPr>
              <xdr:cNvPr id="16" name="Straight Connector 15">
                <a:extLst>
                  <a:ext uri="{FF2B5EF4-FFF2-40B4-BE49-F238E27FC236}">
                    <a16:creationId xmlns:a16="http://schemas.microsoft.com/office/drawing/2014/main" id="{1289CB92-6715-350D-836A-496FF7B61DAE}"/>
                  </a:ext>
                </a:extLst>
              </xdr:cNvPr>
              <xdr:cNvCxnSpPr/>
            </xdr:nvCxnSpPr>
            <xdr:spPr>
              <a:xfrm>
                <a:off x="8981520" y="2183430"/>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7" name="TextBox 16">
                <a:extLst>
                  <a:ext uri="{FF2B5EF4-FFF2-40B4-BE49-F238E27FC236}">
                    <a16:creationId xmlns:a16="http://schemas.microsoft.com/office/drawing/2014/main" id="{75A81D72-E01C-D514-61D8-FBCC88C2008D}"/>
                  </a:ext>
                </a:extLst>
              </xdr:cNvPr>
              <xdr:cNvSpPr txBox="1"/>
            </xdr:nvSpPr>
            <xdr:spPr>
              <a:xfrm>
                <a:off x="16199078" y="2164044"/>
                <a:ext cx="2832078" cy="523780"/>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$14.09</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Substitute</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 Michigan</a:t>
                </a:r>
              </a:p>
            </xdr:txBody>
          </xdr:sp>
        </xdr:grpSp>
        <xdr:cxnSp macro="">
          <xdr:nvCxnSpPr>
            <xdr:cNvPr id="12" name="Straight Connector 11">
              <a:extLst>
                <a:ext uri="{FF2B5EF4-FFF2-40B4-BE49-F238E27FC236}">
                  <a16:creationId xmlns:a16="http://schemas.microsoft.com/office/drawing/2014/main" id="{E0AF07C4-5491-9000-0B59-212971B8D33B}"/>
                </a:ext>
              </a:extLst>
            </xdr:cNvPr>
            <xdr:cNvCxnSpPr/>
          </xdr:nvCxnSpPr>
          <xdr:spPr>
            <a:xfrm>
              <a:off x="11744861" y="1677594"/>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3" name="TextBox 12">
              <a:extLst>
                <a:ext uri="{FF2B5EF4-FFF2-40B4-BE49-F238E27FC236}">
                  <a16:creationId xmlns:a16="http://schemas.microsoft.com/office/drawing/2014/main" id="{05D49D9F-6E8E-13CD-63B2-86CC26FE3AA7}"/>
                </a:ext>
              </a:extLst>
            </xdr:cNvPr>
            <xdr:cNvSpPr txBox="1"/>
          </xdr:nvSpPr>
          <xdr:spPr>
            <a:xfrm>
              <a:off x="18953352" y="1657052"/>
              <a:ext cx="2826698" cy="585502"/>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$21.77</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Substitute,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 Michigan</a:t>
              </a:r>
            </a:p>
          </xdr:txBody>
        </xdr:sp>
      </xdr:grpSp>
      <xdr:cxnSp macro="">
        <xdr:nvCxnSpPr>
          <xdr:cNvPr id="9" name="Straight Connector 8">
            <a:extLst>
              <a:ext uri="{FF2B5EF4-FFF2-40B4-BE49-F238E27FC236}">
                <a16:creationId xmlns:a16="http://schemas.microsoft.com/office/drawing/2014/main" id="{8B46EE08-C56F-48B5-5E42-C034444E277A}"/>
              </a:ext>
            </a:extLst>
          </xdr:cNvPr>
          <xdr:cNvCxnSpPr/>
        </xdr:nvCxnSpPr>
        <xdr:spPr>
          <a:xfrm>
            <a:off x="11889105" y="1383585"/>
            <a:ext cx="8278268" cy="11018"/>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6850A667-861B-1A13-94D5-DC96DCA56910}"/>
              </a:ext>
            </a:extLst>
          </xdr:cNvPr>
          <xdr:cNvSpPr txBox="1"/>
        </xdr:nvSpPr>
        <xdr:spPr>
          <a:xfrm>
            <a:off x="18809988" y="880849"/>
            <a:ext cx="2720115" cy="529803"/>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$23.95</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Substitute,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 Michigan</a:t>
            </a:r>
          </a:p>
        </xdr:txBody>
      </xdr:sp>
    </xdr:grpSp>
    <xdr:clientData/>
  </xdr:twoCellAnchor>
  <xdr:twoCellAnchor>
    <xdr:from>
      <xdr:col>23</xdr:col>
      <xdr:colOff>161925</xdr:colOff>
      <xdr:row>26</xdr:row>
      <xdr:rowOff>161925</xdr:rowOff>
    </xdr:from>
    <xdr:to>
      <xdr:col>28</xdr:col>
      <xdr:colOff>228600</xdr:colOff>
      <xdr:row>37</xdr:row>
      <xdr:rowOff>28575</xdr:rowOff>
    </xdr:to>
    <xdr:grpSp>
      <xdr:nvGrpSpPr>
        <xdr:cNvPr id="18" name="Group 17">
          <a:extLst>
            <a:ext uri="{FF2B5EF4-FFF2-40B4-BE49-F238E27FC236}">
              <a16:creationId xmlns:a16="http://schemas.microsoft.com/office/drawing/2014/main" id="{CEDD9767-BB2E-4FD0-8921-40271C7E2127}"/>
            </a:ext>
          </a:extLst>
        </xdr:cNvPr>
        <xdr:cNvGrpSpPr/>
      </xdr:nvGrpSpPr>
      <xdr:grpSpPr>
        <a:xfrm>
          <a:off x="16163925" y="5600700"/>
          <a:ext cx="2924175" cy="2000250"/>
          <a:chOff x="0" y="61912"/>
          <a:chExt cx="2286000" cy="2176463"/>
        </a:xfrm>
      </xdr:grpSpPr>
      <xdr:graphicFrame macro="">
        <xdr:nvGraphicFramePr>
          <xdr:cNvPr id="19" name="Chart 18">
            <a:extLst>
              <a:ext uri="{FF2B5EF4-FFF2-40B4-BE49-F238E27FC236}">
                <a16:creationId xmlns:a16="http://schemas.microsoft.com/office/drawing/2014/main" id="{6BAB23E0-A0D0-A1E2-7FC7-9A062B1D7B9F}"/>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20" name="TextBox 19">
            <a:extLst>
              <a:ext uri="{FF2B5EF4-FFF2-40B4-BE49-F238E27FC236}">
                <a16:creationId xmlns:a16="http://schemas.microsoft.com/office/drawing/2014/main" id="{1EECD1A9-FA45-F5EE-1773-6DDA44A935A6}"/>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Michigan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15</xdr:col>
      <xdr:colOff>171450</xdr:colOff>
      <xdr:row>9</xdr:row>
      <xdr:rowOff>61912</xdr:rowOff>
    </xdr:from>
    <xdr:to>
      <xdr:col>16</xdr:col>
      <xdr:colOff>447675</xdr:colOff>
      <xdr:row>11</xdr:row>
      <xdr:rowOff>115252</xdr:rowOff>
    </xdr:to>
    <xdr:sp macro="" textlink="">
      <xdr:nvSpPr>
        <xdr:cNvPr id="22" name="Text Box 2">
          <a:extLst>
            <a:ext uri="{FF2B5EF4-FFF2-40B4-BE49-F238E27FC236}">
              <a16:creationId xmlns:a16="http://schemas.microsoft.com/office/drawing/2014/main" id="{A103B089-A0D8-6569-9E6C-4F8E981FB494}"/>
            </a:ext>
          </a:extLst>
        </xdr:cNvPr>
        <xdr:cNvSpPr txBox="1">
          <a:spLocks noChangeArrowheads="1"/>
        </xdr:cNvSpPr>
      </xdr:nvSpPr>
      <xdr:spPr bwMode="auto">
        <a:xfrm>
          <a:off x="11610975" y="222408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96%</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16</xdr:col>
      <xdr:colOff>448310</xdr:colOff>
      <xdr:row>9</xdr:row>
      <xdr:rowOff>71437</xdr:rowOff>
    </xdr:from>
    <xdr:to>
      <xdr:col>18</xdr:col>
      <xdr:colOff>324485</xdr:colOff>
      <xdr:row>11</xdr:row>
      <xdr:rowOff>124777</xdr:rowOff>
    </xdr:to>
    <xdr:sp macro="" textlink="">
      <xdr:nvSpPr>
        <xdr:cNvPr id="23" name="Text Box 2">
          <a:extLst>
            <a:ext uri="{FF2B5EF4-FFF2-40B4-BE49-F238E27FC236}">
              <a16:creationId xmlns:a16="http://schemas.microsoft.com/office/drawing/2014/main" id="{CA5AA733-21E1-DCE5-EE6A-02DDDC414CED}"/>
            </a:ext>
          </a:extLst>
        </xdr:cNvPr>
        <xdr:cNvSpPr txBox="1">
          <a:spLocks noChangeArrowheads="1"/>
        </xdr:cNvSpPr>
      </xdr:nvSpPr>
      <xdr:spPr bwMode="auto">
        <a:xfrm>
          <a:off x="12497435" y="223361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96%</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18</xdr:col>
      <xdr:colOff>314960</xdr:colOff>
      <xdr:row>9</xdr:row>
      <xdr:rowOff>71437</xdr:rowOff>
    </xdr:from>
    <xdr:to>
      <xdr:col>20</xdr:col>
      <xdr:colOff>10160</xdr:colOff>
      <xdr:row>11</xdr:row>
      <xdr:rowOff>124777</xdr:rowOff>
    </xdr:to>
    <xdr:sp macro="" textlink="">
      <xdr:nvSpPr>
        <xdr:cNvPr id="24" name="Text Box 2">
          <a:extLst>
            <a:ext uri="{FF2B5EF4-FFF2-40B4-BE49-F238E27FC236}">
              <a16:creationId xmlns:a16="http://schemas.microsoft.com/office/drawing/2014/main" id="{2AD38B03-5BCB-527C-C0D0-99C41BC57AFB}"/>
            </a:ext>
          </a:extLst>
        </xdr:cNvPr>
        <xdr:cNvSpPr txBox="1">
          <a:spLocks noChangeArrowheads="1"/>
        </xdr:cNvSpPr>
      </xdr:nvSpPr>
      <xdr:spPr bwMode="auto">
        <a:xfrm>
          <a:off x="13373735" y="223361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95%</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20</xdr:col>
      <xdr:colOff>10160</xdr:colOff>
      <xdr:row>9</xdr:row>
      <xdr:rowOff>72707</xdr:rowOff>
    </xdr:from>
    <xdr:to>
      <xdr:col>21</xdr:col>
      <xdr:colOff>286385</xdr:colOff>
      <xdr:row>11</xdr:row>
      <xdr:rowOff>126047</xdr:rowOff>
    </xdr:to>
    <xdr:sp macro="" textlink="">
      <xdr:nvSpPr>
        <xdr:cNvPr id="25" name="Text Box 2">
          <a:extLst>
            <a:ext uri="{FF2B5EF4-FFF2-40B4-BE49-F238E27FC236}">
              <a16:creationId xmlns:a16="http://schemas.microsoft.com/office/drawing/2014/main" id="{D504C155-14CD-CE57-7576-291CB8C38D55}"/>
            </a:ext>
          </a:extLst>
        </xdr:cNvPr>
        <xdr:cNvSpPr txBox="1">
          <a:spLocks noChangeArrowheads="1"/>
        </xdr:cNvSpPr>
      </xdr:nvSpPr>
      <xdr:spPr bwMode="auto">
        <a:xfrm>
          <a:off x="14259560" y="223488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21</xdr:col>
      <xdr:colOff>286385</xdr:colOff>
      <xdr:row>9</xdr:row>
      <xdr:rowOff>71437</xdr:rowOff>
    </xdr:from>
    <xdr:to>
      <xdr:col>23</xdr:col>
      <xdr:colOff>29210</xdr:colOff>
      <xdr:row>11</xdr:row>
      <xdr:rowOff>124777</xdr:rowOff>
    </xdr:to>
    <xdr:sp macro="" textlink="">
      <xdr:nvSpPr>
        <xdr:cNvPr id="26" name="Text Box 2">
          <a:extLst>
            <a:ext uri="{FF2B5EF4-FFF2-40B4-BE49-F238E27FC236}">
              <a16:creationId xmlns:a16="http://schemas.microsoft.com/office/drawing/2014/main" id="{5770528D-0F4F-04FD-5326-96EA0293FD78}"/>
            </a:ext>
          </a:extLst>
        </xdr:cNvPr>
        <xdr:cNvSpPr txBox="1">
          <a:spLocks noChangeArrowheads="1"/>
        </xdr:cNvSpPr>
      </xdr:nvSpPr>
      <xdr:spPr bwMode="auto">
        <a:xfrm>
          <a:off x="15145385" y="223361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0017029-23EE-4B1D-851A-A6BF473D2ED1}"/>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22</xdr:row>
      <xdr:rowOff>190499</xdr:rowOff>
    </xdr:to>
    <xdr:graphicFrame macro="">
      <xdr:nvGraphicFramePr>
        <xdr:cNvPr id="3" name="Chart 2">
          <a:extLst>
            <a:ext uri="{FF2B5EF4-FFF2-40B4-BE49-F238E27FC236}">
              <a16:creationId xmlns:a16="http://schemas.microsoft.com/office/drawing/2014/main" id="{388B415E-17E1-4CD8-88E6-18F9322979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25</xdr:row>
      <xdr:rowOff>0</xdr:rowOff>
    </xdr:from>
    <xdr:to>
      <xdr:col>14</xdr:col>
      <xdr:colOff>238126</xdr:colOff>
      <xdr:row>28</xdr:row>
      <xdr:rowOff>104775</xdr:rowOff>
    </xdr:to>
    <xdr:sp macro="" textlink="">
      <xdr:nvSpPr>
        <xdr:cNvPr id="4" name="TextBox 3">
          <a:extLst>
            <a:ext uri="{FF2B5EF4-FFF2-40B4-BE49-F238E27FC236}">
              <a16:creationId xmlns:a16="http://schemas.microsoft.com/office/drawing/2014/main" id="{F77BB37E-A691-49C4-8C88-F05150B64223}"/>
            </a:ext>
          </a:extLst>
        </xdr:cNvPr>
        <xdr:cNvSpPr txBox="1"/>
      </xdr:nvSpPr>
      <xdr:spPr>
        <a:xfrm>
          <a:off x="2238375" y="4671060"/>
          <a:ext cx="8995411"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Employment data are based on final Emsi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0</xdr:colOff>
      <xdr:row>22</xdr:row>
      <xdr:rowOff>160020</xdr:rowOff>
    </xdr:from>
    <xdr:to>
      <xdr:col>34</xdr:col>
      <xdr:colOff>1419225</xdr:colOff>
      <xdr:row>45</xdr:row>
      <xdr:rowOff>28575</xdr:rowOff>
    </xdr:to>
    <xdr:graphicFrame macro="">
      <xdr:nvGraphicFramePr>
        <xdr:cNvPr id="5" name="Chart 4">
          <a:extLst>
            <a:ext uri="{FF2B5EF4-FFF2-40B4-BE49-F238E27FC236}">
              <a16:creationId xmlns:a16="http://schemas.microsoft.com/office/drawing/2014/main" id="{AC4C9360-8930-496B-B97F-E2860F050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6.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Substitute Wages,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FDBDCD8-5BDA-4DDA-A995-3B04B8EB52BD}"/>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133353</xdr:rowOff>
    </xdr:from>
    <xdr:to>
      <xdr:col>26</xdr:col>
      <xdr:colOff>75228</xdr:colOff>
      <xdr:row>30</xdr:row>
      <xdr:rowOff>146045</xdr:rowOff>
    </xdr:to>
    <xdr:grpSp>
      <xdr:nvGrpSpPr>
        <xdr:cNvPr id="3" name="Group 2">
          <a:extLst>
            <a:ext uri="{FF2B5EF4-FFF2-40B4-BE49-F238E27FC236}">
              <a16:creationId xmlns:a16="http://schemas.microsoft.com/office/drawing/2014/main" id="{79F694F1-EA79-477C-9215-5D1032596094}"/>
            </a:ext>
          </a:extLst>
        </xdr:cNvPr>
        <xdr:cNvGrpSpPr/>
      </xdr:nvGrpSpPr>
      <xdr:grpSpPr>
        <a:xfrm>
          <a:off x="5495925" y="609603"/>
          <a:ext cx="12038628" cy="5099042"/>
          <a:chOff x="3238500" y="11287197"/>
          <a:chExt cx="12086139" cy="5060819"/>
        </a:xfrm>
      </xdr:grpSpPr>
      <xdr:grpSp>
        <xdr:nvGrpSpPr>
          <xdr:cNvPr id="4" name="Group 3">
            <a:extLst>
              <a:ext uri="{FF2B5EF4-FFF2-40B4-BE49-F238E27FC236}">
                <a16:creationId xmlns:a16="http://schemas.microsoft.com/office/drawing/2014/main" id="{7BF1E022-F0F3-4338-44BB-FFA0E7949B3C}"/>
              </a:ext>
            </a:extLst>
          </xdr:cNvPr>
          <xdr:cNvGrpSpPr/>
        </xdr:nvGrpSpPr>
        <xdr:grpSpPr>
          <a:xfrm>
            <a:off x="3238500" y="11512884"/>
            <a:ext cx="12086139" cy="4835132"/>
            <a:chOff x="-13392" y="1389332"/>
            <a:chExt cx="11947656" cy="4835132"/>
          </a:xfrm>
        </xdr:grpSpPr>
        <xdr:graphicFrame macro="">
          <xdr:nvGraphicFramePr>
            <xdr:cNvPr id="8" name="Chart 7">
              <a:extLst>
                <a:ext uri="{FF2B5EF4-FFF2-40B4-BE49-F238E27FC236}">
                  <a16:creationId xmlns:a16="http://schemas.microsoft.com/office/drawing/2014/main" id="{A344ABB6-BB15-A090-7148-4332305FAFE9}"/>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FED4C617-6850-1D8F-5F92-BF05886E23E2}"/>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0" name="Straight Connector 9">
              <a:extLst>
                <a:ext uri="{FF2B5EF4-FFF2-40B4-BE49-F238E27FC236}">
                  <a16:creationId xmlns:a16="http://schemas.microsoft.com/office/drawing/2014/main" id="{844606A0-BE5E-9068-E89F-0CA96B2F037F}"/>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5" name="TextBox 10">
            <a:extLst>
              <a:ext uri="{FF2B5EF4-FFF2-40B4-BE49-F238E27FC236}">
                <a16:creationId xmlns:a16="http://schemas.microsoft.com/office/drawing/2014/main" id="{9C4D6D86-4132-09AA-668A-7AF6092AD02C}"/>
              </a:ext>
            </a:extLst>
          </xdr:cNvPr>
          <xdr:cNvSpPr txBox="1"/>
        </xdr:nvSpPr>
        <xdr:spPr>
          <a:xfrm>
            <a:off x="5798422"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6" name="TextBox 11">
            <a:extLst>
              <a:ext uri="{FF2B5EF4-FFF2-40B4-BE49-F238E27FC236}">
                <a16:creationId xmlns:a16="http://schemas.microsoft.com/office/drawing/2014/main" id="{9EA53E8D-7087-DE59-957D-0146C2351489}"/>
              </a:ext>
            </a:extLst>
          </xdr:cNvPr>
          <xdr:cNvSpPr txBox="1"/>
        </xdr:nvSpPr>
        <xdr:spPr>
          <a:xfrm>
            <a:off x="10442765" y="11287197"/>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7" name="TextBox 12">
            <a:extLst>
              <a:ext uri="{FF2B5EF4-FFF2-40B4-BE49-F238E27FC236}">
                <a16:creationId xmlns:a16="http://schemas.microsoft.com/office/drawing/2014/main" id="{CDEE0633-80AE-9D25-2D68-9BFFA9E01E24}"/>
              </a:ext>
            </a:extLst>
          </xdr:cNvPr>
          <xdr:cNvSpPr txBox="1"/>
        </xdr:nvSpPr>
        <xdr:spPr>
          <a:xfrm>
            <a:off x="8311755" y="11289161"/>
            <a:ext cx="1964812" cy="33769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Substitute</a:t>
            </a:r>
          </a:p>
        </xdr:txBody>
      </xdr:sp>
    </xdr:grpSp>
    <xdr:clientData/>
  </xdr:twoCellAnchor>
  <xdr:twoCellAnchor>
    <xdr:from>
      <xdr:col>5</xdr:col>
      <xdr:colOff>19050</xdr:colOff>
      <xdr:row>31</xdr:row>
      <xdr:rowOff>66675</xdr:rowOff>
    </xdr:from>
    <xdr:to>
      <xdr:col>25</xdr:col>
      <xdr:colOff>247650</xdr:colOff>
      <xdr:row>34</xdr:row>
      <xdr:rowOff>171450</xdr:rowOff>
    </xdr:to>
    <xdr:sp macro="" textlink="">
      <xdr:nvSpPr>
        <xdr:cNvPr id="11" name="TextBox 10">
          <a:extLst>
            <a:ext uri="{FF2B5EF4-FFF2-40B4-BE49-F238E27FC236}">
              <a16:creationId xmlns:a16="http://schemas.microsoft.com/office/drawing/2014/main" id="{81C15081-5F51-46AB-9825-05810559906F}"/>
            </a:ext>
          </a:extLst>
        </xdr:cNvPr>
        <xdr:cNvSpPr txBox="1"/>
      </xdr:nvSpPr>
      <xdr:spPr>
        <a:xfrm>
          <a:off x="6320790" y="5614035"/>
          <a:ext cx="11361420" cy="6305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xdr:colOff>
      <xdr:row>0</xdr:row>
      <xdr:rowOff>22224</xdr:rowOff>
    </xdr:from>
    <xdr:to>
      <xdr:col>2</xdr:col>
      <xdr:colOff>409575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466EB056-CE28-4A6A-9845-8B2F162BF98E}"/>
            </a:ext>
          </a:extLst>
        </xdr:cNvPr>
        <xdr:cNvSpPr/>
      </xdr:nvSpPr>
      <xdr:spPr>
        <a:xfrm>
          <a:off x="1" y="22224"/>
          <a:ext cx="1994534" cy="26733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3</xdr:col>
      <xdr:colOff>316388</xdr:colOff>
      <xdr:row>17</xdr:row>
      <xdr:rowOff>148589</xdr:rowOff>
    </xdr:from>
    <xdr:to>
      <xdr:col>16</xdr:col>
      <xdr:colOff>169545</xdr:colOff>
      <xdr:row>40</xdr:row>
      <xdr:rowOff>40004</xdr:rowOff>
    </xdr:to>
    <xdr:grpSp>
      <xdr:nvGrpSpPr>
        <xdr:cNvPr id="3" name="Group 2">
          <a:extLst>
            <a:ext uri="{FF2B5EF4-FFF2-40B4-BE49-F238E27FC236}">
              <a16:creationId xmlns:a16="http://schemas.microsoft.com/office/drawing/2014/main" id="{F4754BED-DC5A-4BD0-A947-1AA7CA338AB0}"/>
            </a:ext>
          </a:extLst>
        </xdr:cNvPr>
        <xdr:cNvGrpSpPr/>
      </xdr:nvGrpSpPr>
      <xdr:grpSpPr>
        <a:xfrm>
          <a:off x="3173888" y="3529964"/>
          <a:ext cx="10721182" cy="4053840"/>
          <a:chOff x="3432968" y="3571874"/>
          <a:chExt cx="9730582" cy="4048125"/>
        </a:xfrm>
      </xdr:grpSpPr>
      <xdr:graphicFrame macro="">
        <xdr:nvGraphicFramePr>
          <xdr:cNvPr id="4" name="Chart 3">
            <a:extLst>
              <a:ext uri="{FF2B5EF4-FFF2-40B4-BE49-F238E27FC236}">
                <a16:creationId xmlns:a16="http://schemas.microsoft.com/office/drawing/2014/main" id="{92389D44-4F03-0995-C423-0695E95E5BA2}"/>
              </a:ext>
            </a:extLst>
          </xdr:cNvPr>
          <xdr:cNvGraphicFramePr>
            <a:graphicFrameLocks/>
          </xdr:cNvGraphicFramePr>
        </xdr:nvGraphicFramePr>
        <xdr:xfrm>
          <a:off x="3432968" y="3571874"/>
          <a:ext cx="9730582" cy="40481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TextBox 4">
            <a:extLst>
              <a:ext uri="{FF2B5EF4-FFF2-40B4-BE49-F238E27FC236}">
                <a16:creationId xmlns:a16="http://schemas.microsoft.com/office/drawing/2014/main" id="{B0E2EE7A-5412-9D68-452D-3D910B19F41C}"/>
              </a:ext>
            </a:extLst>
          </xdr:cNvPr>
          <xdr:cNvSpPr txBox="1"/>
        </xdr:nvSpPr>
        <xdr:spPr>
          <a:xfrm>
            <a:off x="5560270" y="3600450"/>
            <a:ext cx="5475979" cy="266186"/>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Online Job Postings and Median Advertised Salary</a:t>
            </a:r>
            <a:r>
              <a:rPr lang="en-US" sz="1000" b="1">
                <a:solidFill>
                  <a:schemeClr val="tx1">
                    <a:lumMod val="65000"/>
                    <a:lumOff val="35000"/>
                  </a:schemeClr>
                </a:solidFill>
                <a:latin typeface="Arial" panose="020B0604020202020204" pitchFamily="34" charset="0"/>
                <a:cs typeface="Arial" panose="020B0604020202020204" pitchFamily="34" charset="0"/>
              </a:rPr>
              <a:t>,</a:t>
            </a:r>
            <a:r>
              <a:rPr lang="en-US" sz="1000" b="1" baseline="0">
                <a:solidFill>
                  <a:schemeClr val="tx1">
                    <a:lumMod val="65000"/>
                    <a:lumOff val="35000"/>
                  </a:schemeClr>
                </a:solidFill>
                <a:latin typeface="Arial" panose="020B0604020202020204" pitchFamily="34" charset="0"/>
                <a:cs typeface="Arial" panose="020B0604020202020204" pitchFamily="34" charset="0"/>
              </a:rPr>
              <a:t> Substitute</a:t>
            </a:r>
            <a:r>
              <a:rPr lang="en-US" sz="1000" b="1">
                <a:solidFill>
                  <a:schemeClr val="tx1">
                    <a:lumMod val="65000"/>
                    <a:lumOff val="35000"/>
                  </a:schemeClr>
                </a:solidFill>
                <a:latin typeface="Arial" panose="020B0604020202020204" pitchFamily="34" charset="0"/>
                <a:cs typeface="Arial" panose="020B0604020202020204" pitchFamily="34" charset="0"/>
              </a:rPr>
              <a:t>, Michigan</a:t>
            </a:r>
          </a:p>
        </xdr:txBody>
      </xdr:sp>
    </xdr:grpSp>
    <xdr:clientData/>
  </xdr:twoCellAnchor>
  <xdr:twoCellAnchor>
    <xdr:from>
      <xdr:col>0</xdr:col>
      <xdr:colOff>514350</xdr:colOff>
      <xdr:row>65</xdr:row>
      <xdr:rowOff>28575</xdr:rowOff>
    </xdr:from>
    <xdr:to>
      <xdr:col>2</xdr:col>
      <xdr:colOff>476250</xdr:colOff>
      <xdr:row>67</xdr:row>
      <xdr:rowOff>47625</xdr:rowOff>
    </xdr:to>
    <xdr:sp macro="" textlink="">
      <xdr:nvSpPr>
        <xdr:cNvPr id="6" name="TextBox 5">
          <a:extLst>
            <a:ext uri="{FF2B5EF4-FFF2-40B4-BE49-F238E27FC236}">
              <a16:creationId xmlns:a16="http://schemas.microsoft.com/office/drawing/2014/main" id="{25F5F6E6-D23D-4C39-BF95-390FA90DBFB9}"/>
            </a:ext>
          </a:extLst>
        </xdr:cNvPr>
        <xdr:cNvSpPr txBox="1"/>
      </xdr:nvSpPr>
      <xdr:spPr>
        <a:xfrm>
          <a:off x="514350" y="11710035"/>
          <a:ext cx="1546860" cy="3695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Lightcast</a:t>
          </a:r>
        </a:p>
      </xdr:txBody>
    </xdr:sp>
    <xdr:clientData/>
  </xdr:twoCellAnchor>
  <xdr:twoCellAnchor>
    <xdr:from>
      <xdr:col>8</xdr:col>
      <xdr:colOff>400322</xdr:colOff>
      <xdr:row>1</xdr:row>
      <xdr:rowOff>144780</xdr:rowOff>
    </xdr:from>
    <xdr:to>
      <xdr:col>12</xdr:col>
      <xdr:colOff>578577</xdr:colOff>
      <xdr:row>16</xdr:row>
      <xdr:rowOff>108911</xdr:rowOff>
    </xdr:to>
    <xdr:grpSp>
      <xdr:nvGrpSpPr>
        <xdr:cNvPr id="7" name="Group 6">
          <a:extLst>
            <a:ext uri="{FF2B5EF4-FFF2-40B4-BE49-F238E27FC236}">
              <a16:creationId xmlns:a16="http://schemas.microsoft.com/office/drawing/2014/main" id="{E8D5C4CC-8B44-454F-A60A-961CDF4CC890}"/>
            </a:ext>
          </a:extLst>
        </xdr:cNvPr>
        <xdr:cNvGrpSpPr/>
      </xdr:nvGrpSpPr>
      <xdr:grpSpPr>
        <a:xfrm>
          <a:off x="9610997" y="440055"/>
          <a:ext cx="2626180" cy="2869256"/>
          <a:chOff x="9864362" y="434340"/>
          <a:chExt cx="2723335" cy="2768291"/>
        </a:xfrm>
      </xdr:grpSpPr>
      <xdr:graphicFrame macro="">
        <xdr:nvGraphicFramePr>
          <xdr:cNvPr id="8" name="Chart 7">
            <a:extLst>
              <a:ext uri="{FF2B5EF4-FFF2-40B4-BE49-F238E27FC236}">
                <a16:creationId xmlns:a16="http://schemas.microsoft.com/office/drawing/2014/main" id="{802DD7EB-54A3-6527-6DBA-BB2361BB754C}"/>
              </a:ext>
            </a:extLst>
          </xdr:cNvPr>
          <xdr:cNvGraphicFramePr>
            <a:graphicFrameLocks/>
          </xdr:cNvGraphicFramePr>
        </xdr:nvGraphicFramePr>
        <xdr:xfrm>
          <a:off x="9864362" y="784043"/>
          <a:ext cx="2723335" cy="24185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9" name="TextBox 8">
            <a:extLst>
              <a:ext uri="{FF2B5EF4-FFF2-40B4-BE49-F238E27FC236}">
                <a16:creationId xmlns:a16="http://schemas.microsoft.com/office/drawing/2014/main" id="{DE061315-008E-205D-37AC-B229B4D6A30B}"/>
              </a:ext>
            </a:extLst>
          </xdr:cNvPr>
          <xdr:cNvSpPr txBox="1"/>
        </xdr:nvSpPr>
        <xdr:spPr>
          <a:xfrm>
            <a:off x="9937229" y="434340"/>
            <a:ext cx="2577600" cy="388620"/>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Top Posting Employers, Michigan </a:t>
            </a:r>
          </a:p>
          <a:p>
            <a:pPr algn="ctr"/>
            <a:r>
              <a:rPr lang="en-US" sz="900" b="0" baseline="0">
                <a:solidFill>
                  <a:schemeClr val="tx1">
                    <a:lumMod val="65000"/>
                    <a:lumOff val="35000"/>
                  </a:schemeClr>
                </a:solidFill>
                <a:latin typeface="Arial" panose="020B0604020202020204" pitchFamily="34" charset="0"/>
                <a:cs typeface="Arial" panose="020B0604020202020204" pitchFamily="34" charset="0"/>
              </a:rPr>
              <a:t>(Jan. 2022 - Jul. 2023)</a:t>
            </a:r>
            <a:endParaRPr lang="en-US" sz="1000" b="0">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xdr:colOff>
      <xdr:row>0</xdr:row>
      <xdr:rowOff>22225</xdr:rowOff>
    </xdr:from>
    <xdr:to>
      <xdr:col>1</xdr:col>
      <xdr:colOff>771525</xdr:colOff>
      <xdr:row>0</xdr:row>
      <xdr:rowOff>285751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5F266DC5-ABD4-4051-B2F2-C49E62B9EBAA}"/>
            </a:ext>
          </a:extLst>
        </xdr:cNvPr>
        <xdr:cNvSpPr/>
      </xdr:nvSpPr>
      <xdr:spPr>
        <a:xfrm>
          <a:off x="1" y="22225"/>
          <a:ext cx="184594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104775</xdr:colOff>
      <xdr:row>4</xdr:row>
      <xdr:rowOff>28576</xdr:rowOff>
    </xdr:from>
    <xdr:to>
      <xdr:col>10</xdr:col>
      <xdr:colOff>266700</xdr:colOff>
      <xdr:row>12</xdr:row>
      <xdr:rowOff>47626</xdr:rowOff>
    </xdr:to>
    <xdr:sp macro="" textlink="">
      <xdr:nvSpPr>
        <xdr:cNvPr id="3" name="TextBox 2">
          <a:extLst>
            <a:ext uri="{FF2B5EF4-FFF2-40B4-BE49-F238E27FC236}">
              <a16:creationId xmlns:a16="http://schemas.microsoft.com/office/drawing/2014/main" id="{AA52BFE2-9088-4109-B3C9-209CB7DE0EC7}"/>
            </a:ext>
          </a:extLst>
        </xdr:cNvPr>
        <xdr:cNvSpPr txBox="1"/>
      </xdr:nvSpPr>
      <xdr:spPr>
        <a:xfrm>
          <a:off x="4417695" y="843916"/>
          <a:ext cx="4063365" cy="1421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Sorted</a:t>
          </a:r>
          <a:r>
            <a:rPr lang="en-US" sz="1100" baseline="0"/>
            <a:t> according to the volume of net commuters in 2022.</a:t>
          </a:r>
        </a:p>
        <a:p>
          <a:endParaRPr lang="en-US" sz="1100" baseline="0"/>
        </a:p>
        <a:p>
          <a:r>
            <a:rPr lang="en-US" sz="1100" baseline="0"/>
            <a:t>Postive numbers indicate a larger share of Lead Teachers travel </a:t>
          </a:r>
          <a:r>
            <a:rPr lang="en-US" sz="1100" b="1" baseline="0"/>
            <a:t>to</a:t>
          </a:r>
          <a:r>
            <a:rPr lang="en-US" sz="1100" baseline="0"/>
            <a:t> a county for work. E.g., there are more jobs than workers. </a:t>
          </a:r>
        </a:p>
        <a:p>
          <a:endParaRPr lang="en-US" sz="1100" baseline="0"/>
        </a:p>
        <a:p>
          <a:r>
            <a:rPr lang="en-US" sz="1100" baseline="0"/>
            <a:t>Negative numbers indicate a larger share of Lead Teachers travel </a:t>
          </a:r>
          <a:r>
            <a:rPr lang="en-US" sz="1100" b="1" baseline="0"/>
            <a:t>out of</a:t>
          </a:r>
          <a:r>
            <a:rPr lang="en-US" sz="1100" baseline="0"/>
            <a:t> a county for work. E.g. there are more workers than jobs. </a:t>
          </a:r>
          <a:endParaRPr lang="en-US" sz="1100"/>
        </a:p>
      </xdr:txBody>
    </xdr:sp>
    <xdr:clientData/>
  </xdr:twoCellAnchor>
  <xdr:twoCellAnchor>
    <xdr:from>
      <xdr:col>0</xdr:col>
      <xdr:colOff>45719</xdr:colOff>
      <xdr:row>52</xdr:row>
      <xdr:rowOff>129540</xdr:rowOff>
    </xdr:from>
    <xdr:to>
      <xdr:col>5</xdr:col>
      <xdr:colOff>502919</xdr:colOff>
      <xdr:row>56</xdr:row>
      <xdr:rowOff>53340</xdr:rowOff>
    </xdr:to>
    <xdr:sp macro="" textlink="">
      <xdr:nvSpPr>
        <xdr:cNvPr id="4" name="TextBox 3">
          <a:extLst>
            <a:ext uri="{FF2B5EF4-FFF2-40B4-BE49-F238E27FC236}">
              <a16:creationId xmlns:a16="http://schemas.microsoft.com/office/drawing/2014/main" id="{2C56F73E-5506-419B-BF0F-66C24D457C65}"/>
            </a:ext>
          </a:extLst>
        </xdr:cNvPr>
        <xdr:cNvSpPr txBox="1"/>
      </xdr:nvSpPr>
      <xdr:spPr>
        <a:xfrm>
          <a:off x="45719" y="15841980"/>
          <a:ext cx="5394960"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Emsi</a:t>
          </a:r>
        </a:p>
        <a:p>
          <a:r>
            <a:rPr lang="en-US" sz="1000" b="0" i="1">
              <a:latin typeface="Arial" panose="020B0604020202020204" pitchFamily="34" charset="0"/>
              <a:cs typeface="Arial" panose="020B0604020202020204" pitchFamily="34" charset="0"/>
            </a:rPr>
            <a:t>Data comes from the Census LODES data, specifically from Origin and Destination (OD), Regional Area Characteristics (RAC), and Workforce Area Characteristics (WAC).</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C2249D22-1B5D-41DB-833B-0B36F06CE017}"/>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15240</xdr:colOff>
      <xdr:row>9</xdr:row>
      <xdr:rowOff>24764</xdr:rowOff>
    </xdr:from>
    <xdr:to>
      <xdr:col>15</xdr:col>
      <xdr:colOff>15240</xdr:colOff>
      <xdr:row>13</xdr:row>
      <xdr:rowOff>0</xdr:rowOff>
    </xdr:to>
    <xdr:sp macro="" textlink="">
      <xdr:nvSpPr>
        <xdr:cNvPr id="11" name="TextBox 10">
          <a:extLst>
            <a:ext uri="{FF2B5EF4-FFF2-40B4-BE49-F238E27FC236}">
              <a16:creationId xmlns:a16="http://schemas.microsoft.com/office/drawing/2014/main" id="{6226B935-B801-4947-A973-99EC26B2C24C}"/>
            </a:ext>
          </a:extLst>
        </xdr:cNvPr>
        <xdr:cNvSpPr txBox="1"/>
      </xdr:nvSpPr>
      <xdr:spPr>
        <a:xfrm>
          <a:off x="15240" y="1868804"/>
          <a:ext cx="11231880" cy="6762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000" b="0" baseline="0">
              <a:solidFill>
                <a:schemeClr val="dk1"/>
              </a:solidFill>
              <a:effectLst/>
              <a:latin typeface="Arial" panose="020B0604020202020204" pitchFamily="34" charset="0"/>
              <a:ea typeface="+mn-ea"/>
              <a:cs typeface="Arial" panose="020B0604020202020204" pitchFamily="34" charset="0"/>
            </a:rPr>
            <a:t>Current median hourly wages reflect Labor Market Information data, collected in the summer of 2023.</a:t>
          </a:r>
          <a:endParaRPr lang="en-US" sz="1000">
            <a:effectLst/>
            <a:latin typeface="Arial" panose="020B0604020202020204" pitchFamily="34" charset="0"/>
            <a:cs typeface="Arial" panose="020B0604020202020204" pitchFamily="34" charset="0"/>
          </a:endParaRPr>
        </a:p>
        <a:p>
          <a:pPr marL="171450" indent="-171450">
            <a:buFont typeface="Arial" panose="020B0604020202020204" pitchFamily="34" charset="0"/>
            <a:buChar char="•"/>
          </a:pPr>
          <a:endParaRPr lang="en-US" sz="1000" baseline="0">
            <a:latin typeface="Arial" panose="020B0604020202020204" pitchFamily="34" charset="0"/>
            <a:cs typeface="Arial" panose="020B0604020202020204" pitchFamily="34" charset="0"/>
          </a:endParaRPr>
        </a:p>
      </xdr:txBody>
    </xdr:sp>
    <xdr:clientData/>
  </xdr:twoCellAnchor>
  <xdr:twoCellAnchor>
    <xdr:from>
      <xdr:col>0</xdr:col>
      <xdr:colOff>0</xdr:colOff>
      <xdr:row>23</xdr:row>
      <xdr:rowOff>9525</xdr:rowOff>
    </xdr:from>
    <xdr:to>
      <xdr:col>19</xdr:col>
      <xdr:colOff>0</xdr:colOff>
      <xdr:row>26</xdr:row>
      <xdr:rowOff>123825</xdr:rowOff>
    </xdr:to>
    <xdr:sp macro="" textlink="">
      <xdr:nvSpPr>
        <xdr:cNvPr id="12" name="TextBox 11">
          <a:extLst>
            <a:ext uri="{FF2B5EF4-FFF2-40B4-BE49-F238E27FC236}">
              <a16:creationId xmlns:a16="http://schemas.microsoft.com/office/drawing/2014/main" id="{E06C952A-2F8F-4E6C-B002-3B8BBA5B7E42}"/>
            </a:ext>
          </a:extLst>
        </xdr:cNvPr>
        <xdr:cNvSpPr txBox="1"/>
      </xdr:nvSpPr>
      <xdr:spPr>
        <a:xfrm>
          <a:off x="0" y="4657725"/>
          <a:ext cx="1234440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0</xdr:col>
      <xdr:colOff>0</xdr:colOff>
      <xdr:row>37</xdr:row>
      <xdr:rowOff>19050</xdr:rowOff>
    </xdr:from>
    <xdr:to>
      <xdr:col>19</xdr:col>
      <xdr:colOff>9525</xdr:colOff>
      <xdr:row>40</xdr:row>
      <xdr:rowOff>133350</xdr:rowOff>
    </xdr:to>
    <xdr:sp macro="" textlink="">
      <xdr:nvSpPr>
        <xdr:cNvPr id="3" name="TextBox 2">
          <a:extLst>
            <a:ext uri="{FF2B5EF4-FFF2-40B4-BE49-F238E27FC236}">
              <a16:creationId xmlns:a16="http://schemas.microsoft.com/office/drawing/2014/main" id="{0AD086BC-CF71-4E77-BAA3-1E815BD2EF67}"/>
            </a:ext>
          </a:extLst>
        </xdr:cNvPr>
        <xdr:cNvSpPr txBox="1"/>
      </xdr:nvSpPr>
      <xdr:spPr>
        <a:xfrm>
          <a:off x="0" y="7696200"/>
          <a:ext cx="12211050"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baseline="0">
              <a:latin typeface="Arial" panose="020B0604020202020204" pitchFamily="34" charset="0"/>
              <a:cs typeface="Arial" panose="020B0604020202020204" pitchFamily="34" charset="0"/>
            </a:rPr>
            <a:t>Note</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2.5% increase to base for each year of employment (longevity) -- up to 20 years.</a:t>
          </a:r>
        </a:p>
        <a:p>
          <a:pPr marL="171450" indent="-171450">
            <a:buFont typeface="Arial" panose="020B0604020202020204" pitchFamily="34" charset="0"/>
            <a:buChar char="•"/>
          </a:pPr>
          <a:r>
            <a:rPr lang="en-US" sz="1000" baseline="0">
              <a:latin typeface="Arial" panose="020B0604020202020204" pitchFamily="34" charset="0"/>
              <a:cs typeface="Arial" panose="020B0604020202020204" pitchFamily="34" charset="0"/>
            </a:rPr>
            <a:t>5.0% increase to base for ECE I and ECE II with apprenticeship certificate.</a:t>
          </a:r>
        </a:p>
      </xdr:txBody>
    </xdr:sp>
    <xdr:clientData/>
  </xdr:twoCellAnchor>
  <xdr:twoCellAnchor>
    <xdr:from>
      <xdr:col>19</xdr:col>
      <xdr:colOff>350095</xdr:colOff>
      <xdr:row>27</xdr:row>
      <xdr:rowOff>51010</xdr:rowOff>
    </xdr:from>
    <xdr:to>
      <xdr:col>33</xdr:col>
      <xdr:colOff>24341</xdr:colOff>
      <xdr:row>54</xdr:row>
      <xdr:rowOff>73023</xdr:rowOff>
    </xdr:to>
    <xdr:grpSp>
      <xdr:nvGrpSpPr>
        <xdr:cNvPr id="15" name="Group 14">
          <a:extLst>
            <a:ext uri="{FF2B5EF4-FFF2-40B4-BE49-F238E27FC236}">
              <a16:creationId xmlns:a16="http://schemas.microsoft.com/office/drawing/2014/main" id="{EF057814-F2F0-D081-1A4C-BAACECAA459F}"/>
            </a:ext>
          </a:extLst>
        </xdr:cNvPr>
        <xdr:cNvGrpSpPr/>
      </xdr:nvGrpSpPr>
      <xdr:grpSpPr>
        <a:xfrm>
          <a:off x="13732720" y="5299285"/>
          <a:ext cx="9942196" cy="4984538"/>
          <a:chOff x="2571749" y="704319"/>
          <a:chExt cx="9820276" cy="4371975"/>
        </a:xfrm>
      </xdr:grpSpPr>
      <xdr:graphicFrame macro="">
        <xdr:nvGraphicFramePr>
          <xdr:cNvPr id="4" name="Chart 3">
            <a:extLst>
              <a:ext uri="{FF2B5EF4-FFF2-40B4-BE49-F238E27FC236}">
                <a16:creationId xmlns:a16="http://schemas.microsoft.com/office/drawing/2014/main" id="{66CA139A-3894-FF2E-F257-DB0391912CB0}"/>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4" name="Group 13">
            <a:extLst>
              <a:ext uri="{FF2B5EF4-FFF2-40B4-BE49-F238E27FC236}">
                <a16:creationId xmlns:a16="http://schemas.microsoft.com/office/drawing/2014/main" id="{5915D40E-C957-B1AA-748D-02F80934A9EF}"/>
              </a:ext>
            </a:extLst>
          </xdr:cNvPr>
          <xdr:cNvGrpSpPr/>
        </xdr:nvGrpSpPr>
        <xdr:grpSpPr>
          <a:xfrm>
            <a:off x="3086100" y="3688349"/>
            <a:ext cx="9305925" cy="680630"/>
            <a:chOff x="3086100" y="3688349"/>
            <a:chExt cx="9305925" cy="680630"/>
          </a:xfrm>
        </xdr:grpSpPr>
        <xdr:cxnSp macro="">
          <xdr:nvCxnSpPr>
            <xdr:cNvPr id="6" name="Straight Connector 5">
              <a:extLst>
                <a:ext uri="{FF2B5EF4-FFF2-40B4-BE49-F238E27FC236}">
                  <a16:creationId xmlns:a16="http://schemas.microsoft.com/office/drawing/2014/main" id="{0042DA1A-D749-D53A-1437-1EE456604D53}"/>
                </a:ext>
              </a:extLst>
            </xdr:cNvPr>
            <xdr:cNvCxnSpPr/>
          </xdr:nvCxnSpPr>
          <xdr:spPr>
            <a:xfrm>
              <a:off x="3086100" y="434180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0" name="TextBox 9">
              <a:extLst>
                <a:ext uri="{FF2B5EF4-FFF2-40B4-BE49-F238E27FC236}">
                  <a16:creationId xmlns:a16="http://schemas.microsoft.com/office/drawing/2014/main" id="{89DDD047-EFDC-4B99-763D-F01C03C26DB0}"/>
                </a:ext>
              </a:extLst>
            </xdr:cNvPr>
            <xdr:cNvSpPr txBox="1"/>
          </xdr:nvSpPr>
          <xdr:spPr>
            <a:xfrm>
              <a:off x="10829926" y="3688349"/>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twoCellAnchor>
    <xdr:from>
      <xdr:col>9</xdr:col>
      <xdr:colOff>457199</xdr:colOff>
      <xdr:row>42</xdr:row>
      <xdr:rowOff>57150</xdr:rowOff>
    </xdr:from>
    <xdr:to>
      <xdr:col>18</xdr:col>
      <xdr:colOff>600075</xdr:colOff>
      <xdr:row>46</xdr:row>
      <xdr:rowOff>114300</xdr:rowOff>
    </xdr:to>
    <xdr:sp macro="" textlink="">
      <xdr:nvSpPr>
        <xdr:cNvPr id="16" name="TextBox 15">
          <a:extLst>
            <a:ext uri="{FF2B5EF4-FFF2-40B4-BE49-F238E27FC236}">
              <a16:creationId xmlns:a16="http://schemas.microsoft.com/office/drawing/2014/main" id="{6B4DBA30-F9C3-9E8B-7B02-F2A097C6A52B}"/>
            </a:ext>
          </a:extLst>
        </xdr:cNvPr>
        <xdr:cNvSpPr txBox="1"/>
      </xdr:nvSpPr>
      <xdr:spPr>
        <a:xfrm>
          <a:off x="7096124" y="8362950"/>
          <a:ext cx="5238751"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1" u="none" strike="noStrike">
              <a:solidFill>
                <a:schemeClr val="dk1"/>
              </a:solidFill>
              <a:effectLst/>
              <a:latin typeface="Arial" panose="020B0604020202020204" pitchFamily="34" charset="0"/>
              <a:ea typeface="+mn-ea"/>
              <a:cs typeface="Arial" panose="020B0604020202020204" pitchFamily="34" charset="0"/>
            </a:rPr>
            <a:t>The Self-Sufficiency</a:t>
          </a:r>
          <a:r>
            <a:rPr lang="en-US" sz="1100" b="1" i="1" u="none" strike="noStrike" baseline="0">
              <a:solidFill>
                <a:schemeClr val="dk1"/>
              </a:solidFill>
              <a:effectLst/>
              <a:latin typeface="Arial" panose="020B0604020202020204" pitchFamily="34" charset="0"/>
              <a:ea typeface="+mn-ea"/>
              <a:cs typeface="Arial" panose="020B0604020202020204" pitchFamily="34" charset="0"/>
            </a:rPr>
            <a:t> Standard for Michigan 2023</a:t>
          </a:r>
          <a:endParaRPr lang="en-US" sz="1100" b="1" i="1" u="none" strike="noStrike">
            <a:solidFill>
              <a:schemeClr val="dk1"/>
            </a:solidFill>
            <a:effectLst/>
            <a:latin typeface="Arial" panose="020B0604020202020204" pitchFamily="34" charset="0"/>
            <a:ea typeface="+mn-ea"/>
            <a:cs typeface="Arial" panose="020B0604020202020204" pitchFamily="34" charset="0"/>
          </a:endParaRPr>
        </a:p>
        <a:p>
          <a:r>
            <a:rPr lang="en-US" sz="1100" b="0" i="0" u="none" strike="noStrike">
              <a:solidFill>
                <a:schemeClr val="dk1"/>
              </a:solidFill>
              <a:effectLst/>
              <a:latin typeface="Arial" panose="020B0604020202020204" pitchFamily="34" charset="0"/>
              <a:ea typeface="+mn-ea"/>
              <a:cs typeface="Arial" panose="020B0604020202020204" pitchFamily="34" charset="0"/>
            </a:rPr>
            <a:t>Source: Center for Women's Welfare, University of Washington.</a:t>
          </a:r>
          <a:r>
            <a:rPr lang="en-US">
              <a:latin typeface="Arial" panose="020B0604020202020204" pitchFamily="34" charset="0"/>
              <a:cs typeface="Arial" panose="020B0604020202020204" pitchFamily="34" charset="0"/>
            </a:rPr>
            <a:t> </a:t>
          </a:r>
          <a:r>
            <a:rPr lang="en-US" sz="1100" b="0" i="0" u="none" strike="noStrike">
              <a:solidFill>
                <a:schemeClr val="dk1"/>
              </a:solidFill>
              <a:effectLst/>
              <a:latin typeface="Arial" panose="020B0604020202020204" pitchFamily="34" charset="0"/>
              <a:ea typeface="+mn-ea"/>
              <a:cs typeface="Arial" panose="020B0604020202020204" pitchFamily="34" charset="0"/>
            </a:rPr>
            <a:t>For more information see http://www.selfsufficiencystandard.org/#state or contact cwwsss@uw.edu</a:t>
          </a:r>
          <a:r>
            <a:rPr lang="en-US">
              <a:latin typeface="Arial" panose="020B0604020202020204" pitchFamily="34" charset="0"/>
              <a:cs typeface="Arial" panose="020B0604020202020204" pitchFamily="34" charset="0"/>
            </a:rPr>
            <a:t> </a:t>
          </a:r>
          <a:endParaRPr lang="en-US" sz="1100">
            <a:latin typeface="Arial" panose="020B0604020202020204" pitchFamily="34" charset="0"/>
            <a:cs typeface="Arial" panose="020B0604020202020204" pitchFamily="34" charset="0"/>
          </a:endParaRPr>
        </a:p>
      </xdr:txBody>
    </xdr:sp>
    <xdr:clientData/>
  </xdr:twoCellAnchor>
  <xdr:twoCellAnchor>
    <xdr:from>
      <xdr:col>19</xdr:col>
      <xdr:colOff>392430</xdr:colOff>
      <xdr:row>0</xdr:row>
      <xdr:rowOff>289560</xdr:rowOff>
    </xdr:from>
    <xdr:to>
      <xdr:col>33</xdr:col>
      <xdr:colOff>87631</xdr:colOff>
      <xdr:row>26</xdr:row>
      <xdr:rowOff>136313</xdr:rowOff>
    </xdr:to>
    <xdr:grpSp>
      <xdr:nvGrpSpPr>
        <xdr:cNvPr id="17" name="Group 16">
          <a:extLst>
            <a:ext uri="{FF2B5EF4-FFF2-40B4-BE49-F238E27FC236}">
              <a16:creationId xmlns:a16="http://schemas.microsoft.com/office/drawing/2014/main" id="{F31EEFED-F289-4DE9-BF86-99E153865809}"/>
            </a:ext>
          </a:extLst>
        </xdr:cNvPr>
        <xdr:cNvGrpSpPr/>
      </xdr:nvGrpSpPr>
      <xdr:grpSpPr>
        <a:xfrm>
          <a:off x="13775055" y="289560"/>
          <a:ext cx="9963151" cy="4914053"/>
          <a:chOff x="2571749" y="704319"/>
          <a:chExt cx="9820276" cy="4371975"/>
        </a:xfrm>
      </xdr:grpSpPr>
      <xdr:graphicFrame macro="">
        <xdr:nvGraphicFramePr>
          <xdr:cNvPr id="18" name="Chart 17">
            <a:extLst>
              <a:ext uri="{FF2B5EF4-FFF2-40B4-BE49-F238E27FC236}">
                <a16:creationId xmlns:a16="http://schemas.microsoft.com/office/drawing/2014/main" id="{EDAA3519-71A7-F2D7-C75C-5219E318DE1E}"/>
              </a:ext>
            </a:extLst>
          </xdr:cNvPr>
          <xdr:cNvGraphicFramePr/>
        </xdr:nvGraphicFramePr>
        <xdr:xfrm>
          <a:off x="2571749" y="704319"/>
          <a:ext cx="8772525" cy="437197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9" name="Group 18">
            <a:extLst>
              <a:ext uri="{FF2B5EF4-FFF2-40B4-BE49-F238E27FC236}">
                <a16:creationId xmlns:a16="http://schemas.microsoft.com/office/drawing/2014/main" id="{987913D6-C76F-2957-95CB-5B7A60AB3E3B}"/>
              </a:ext>
            </a:extLst>
          </xdr:cNvPr>
          <xdr:cNvGrpSpPr/>
        </xdr:nvGrpSpPr>
        <xdr:grpSpPr>
          <a:xfrm>
            <a:off x="3086100" y="3662806"/>
            <a:ext cx="9305925" cy="680630"/>
            <a:chOff x="3086100" y="3662806"/>
            <a:chExt cx="9305925" cy="680630"/>
          </a:xfrm>
        </xdr:grpSpPr>
        <xdr:cxnSp macro="">
          <xdr:nvCxnSpPr>
            <xdr:cNvPr id="20" name="Straight Connector 19">
              <a:extLst>
                <a:ext uri="{FF2B5EF4-FFF2-40B4-BE49-F238E27FC236}">
                  <a16:creationId xmlns:a16="http://schemas.microsoft.com/office/drawing/2014/main" id="{77F4AF8D-EC0F-9EAC-04AC-46A3316AA3FD}"/>
                </a:ext>
              </a:extLst>
            </xdr:cNvPr>
            <xdr:cNvCxnSpPr/>
          </xdr:nvCxnSpPr>
          <xdr:spPr>
            <a:xfrm>
              <a:off x="3086100" y="4316264"/>
              <a:ext cx="8058150" cy="9525"/>
            </a:xfrm>
            <a:prstGeom prst="line">
              <a:avLst/>
            </a:prstGeom>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21" name="TextBox 20">
              <a:extLst>
                <a:ext uri="{FF2B5EF4-FFF2-40B4-BE49-F238E27FC236}">
                  <a16:creationId xmlns:a16="http://schemas.microsoft.com/office/drawing/2014/main" id="{F61BD7C1-93FF-AAE5-A18E-BAA94FAE6CD0}"/>
                </a:ext>
              </a:extLst>
            </xdr:cNvPr>
            <xdr:cNvSpPr txBox="1"/>
          </xdr:nvSpPr>
          <xdr:spPr>
            <a:xfrm>
              <a:off x="10829926" y="3662806"/>
              <a:ext cx="1562099" cy="680630"/>
            </a:xfrm>
            <a:prstGeom prst="rect">
              <a:avLst/>
            </a:prstGeom>
            <a:solidFill>
              <a:schemeClr val="lt1"/>
            </a:solid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solidFill>
                    <a:srgbClr val="D45D00"/>
                  </a:solidFill>
                  <a:latin typeface="Arial" panose="020B0604020202020204" pitchFamily="34" charset="0"/>
                  <a:cs typeface="Arial" panose="020B0604020202020204" pitchFamily="34" charset="0"/>
                </a:rPr>
                <a:t>$26.97</a:t>
              </a:r>
            </a:p>
            <a:p>
              <a:endParaRPr lang="en-US" sz="400" b="1">
                <a:solidFill>
                  <a:srgbClr val="D45D00"/>
                </a:solidFill>
                <a:latin typeface="Arial" panose="020B0604020202020204" pitchFamily="34" charset="0"/>
                <a:cs typeface="Arial" panose="020B0604020202020204" pitchFamily="34" charset="0"/>
              </a:endParaRPr>
            </a:p>
            <a:p>
              <a:r>
                <a:rPr lang="en-US" sz="900" b="1">
                  <a:solidFill>
                    <a:srgbClr val="D45D00"/>
                  </a:solidFill>
                  <a:latin typeface="Arial" panose="020B0604020202020204" pitchFamily="34" charset="0"/>
                  <a:cs typeface="Arial" panose="020B0604020202020204" pitchFamily="34" charset="0"/>
                </a:rPr>
                <a:t>Self-sufficiency</a:t>
              </a:r>
              <a:r>
                <a:rPr lang="en-US" sz="900" b="1" baseline="0">
                  <a:solidFill>
                    <a:srgbClr val="D45D00"/>
                  </a:solidFill>
                  <a:latin typeface="Arial" panose="020B0604020202020204" pitchFamily="34" charset="0"/>
                  <a:cs typeface="Arial" panose="020B0604020202020204" pitchFamily="34" charset="0"/>
                </a:rPr>
                <a:t> Standard </a:t>
              </a:r>
            </a:p>
            <a:p>
              <a:r>
                <a:rPr lang="en-US" sz="800" b="0" i="1" baseline="0">
                  <a:solidFill>
                    <a:srgbClr val="D45D00"/>
                  </a:solidFill>
                  <a:latin typeface="Arial" panose="020B0604020202020204" pitchFamily="34" charset="0"/>
                  <a:cs typeface="Arial" panose="020B0604020202020204" pitchFamily="34" charset="0"/>
                </a:rPr>
                <a:t>Average Family Size</a:t>
              </a:r>
            </a:p>
            <a:p>
              <a:r>
                <a:rPr lang="en-US" sz="800" b="0" i="1" baseline="0">
                  <a:solidFill>
                    <a:srgbClr val="D45D00"/>
                  </a:solidFill>
                  <a:latin typeface="Arial" panose="020B0604020202020204" pitchFamily="34" charset="0"/>
                  <a:cs typeface="Arial" panose="020B0604020202020204" pitchFamily="34" charset="0"/>
                </a:rPr>
                <a:t>2023</a:t>
              </a:r>
              <a:endParaRPr lang="en-US" sz="800" b="0" i="1">
                <a:solidFill>
                  <a:srgbClr val="D45D00"/>
                </a:solidFill>
                <a:latin typeface="Arial" panose="020B0604020202020204" pitchFamily="34" charset="0"/>
                <a:cs typeface="Arial" panose="020B0604020202020204" pitchFamily="34" charset="0"/>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2F872879-7C4C-4DDD-A815-2A6A19E25C02}"/>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0</xdr:col>
      <xdr:colOff>257175</xdr:colOff>
      <xdr:row>12</xdr:row>
      <xdr:rowOff>133350</xdr:rowOff>
    </xdr:from>
    <xdr:to>
      <xdr:col>2</xdr:col>
      <xdr:colOff>723424</xdr:colOff>
      <xdr:row>22</xdr:row>
      <xdr:rowOff>146295</xdr:rowOff>
    </xdr:to>
    <xdr:grpSp>
      <xdr:nvGrpSpPr>
        <xdr:cNvPr id="7" name="Group 6">
          <a:extLst>
            <a:ext uri="{FF2B5EF4-FFF2-40B4-BE49-F238E27FC236}">
              <a16:creationId xmlns:a16="http://schemas.microsoft.com/office/drawing/2014/main" id="{0857AF9D-2229-4AD7-B480-91C7976056CF}"/>
            </a:ext>
          </a:extLst>
        </xdr:cNvPr>
        <xdr:cNvGrpSpPr/>
      </xdr:nvGrpSpPr>
      <xdr:grpSpPr>
        <a:xfrm>
          <a:off x="257175" y="2600325"/>
          <a:ext cx="2914174" cy="1917945"/>
          <a:chOff x="845599" y="2855134"/>
          <a:chExt cx="4546600" cy="3675464"/>
        </a:xfrm>
        <a:solidFill>
          <a:schemeClr val="bg1"/>
        </a:solidFill>
      </xdr:grpSpPr>
      <xdr:graphicFrame macro="">
        <xdr:nvGraphicFramePr>
          <xdr:cNvPr id="8" name="Chart 7">
            <a:extLst>
              <a:ext uri="{FF2B5EF4-FFF2-40B4-BE49-F238E27FC236}">
                <a16:creationId xmlns:a16="http://schemas.microsoft.com/office/drawing/2014/main" id="{CE5292D4-EBA6-731E-34D1-428D7DC2EF38}"/>
              </a:ext>
            </a:extLst>
          </xdr:cNvPr>
          <xdr:cNvGraphicFramePr>
            <a:graphicFrameLocks/>
          </xdr:cNvGraphicFramePr>
        </xdr:nvGraphicFramePr>
        <xdr:xfrm>
          <a:off x="845599" y="3429000"/>
          <a:ext cx="4546600" cy="3101598"/>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9" name="TextBox 8">
            <a:extLst>
              <a:ext uri="{FF2B5EF4-FFF2-40B4-BE49-F238E27FC236}">
                <a16:creationId xmlns:a16="http://schemas.microsoft.com/office/drawing/2014/main" id="{2687B6D3-B775-A16C-96FA-357CB557C130}"/>
              </a:ext>
            </a:extLst>
          </xdr:cNvPr>
          <xdr:cNvSpPr txBox="1"/>
        </xdr:nvSpPr>
        <xdr:spPr>
          <a:xfrm>
            <a:off x="845601" y="2855134"/>
            <a:ext cx="4546598" cy="459559"/>
          </a:xfrm>
          <a:prstGeom prst="rect">
            <a:avLst/>
          </a:prstGeom>
          <a:grp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Age Group, Michigan, 2022</a:t>
            </a:r>
          </a:p>
        </xdr:txBody>
      </xdr:sp>
    </xdr:grpSp>
    <xdr:clientData/>
  </xdr:twoCellAnchor>
  <xdr:twoCellAnchor>
    <xdr:from>
      <xdr:col>4</xdr:col>
      <xdr:colOff>323850</xdr:colOff>
      <xdr:row>12</xdr:row>
      <xdr:rowOff>81919</xdr:rowOff>
    </xdr:from>
    <xdr:to>
      <xdr:col>6</xdr:col>
      <xdr:colOff>637698</xdr:colOff>
      <xdr:row>23</xdr:row>
      <xdr:rowOff>129540</xdr:rowOff>
    </xdr:to>
    <xdr:grpSp>
      <xdr:nvGrpSpPr>
        <xdr:cNvPr id="12" name="Group 11">
          <a:extLst>
            <a:ext uri="{FF2B5EF4-FFF2-40B4-BE49-F238E27FC236}">
              <a16:creationId xmlns:a16="http://schemas.microsoft.com/office/drawing/2014/main" id="{8C8319E8-12F4-1263-5703-A4E41E5BDB91}"/>
            </a:ext>
          </a:extLst>
        </xdr:cNvPr>
        <xdr:cNvGrpSpPr/>
      </xdr:nvGrpSpPr>
      <xdr:grpSpPr>
        <a:xfrm>
          <a:off x="3790950" y="2548894"/>
          <a:ext cx="2914173" cy="2143121"/>
          <a:chOff x="3943350" y="4330770"/>
          <a:chExt cx="2914173" cy="2041932"/>
        </a:xfrm>
        <a:solidFill>
          <a:schemeClr val="bg1"/>
        </a:solidFill>
      </xdr:grpSpPr>
      <xdr:graphicFrame macro="">
        <xdr:nvGraphicFramePr>
          <xdr:cNvPr id="3" name="Chart 2">
            <a:extLst>
              <a:ext uri="{FF2B5EF4-FFF2-40B4-BE49-F238E27FC236}">
                <a16:creationId xmlns:a16="http://schemas.microsoft.com/office/drawing/2014/main" id="{F0C21A10-0C11-4DCE-8003-57655DE10FD4}"/>
              </a:ext>
            </a:extLst>
          </xdr:cNvPr>
          <xdr:cNvGraphicFramePr>
            <a:graphicFrameLocks/>
          </xdr:cNvGraphicFramePr>
        </xdr:nvGraphicFramePr>
        <xdr:xfrm>
          <a:off x="4029075" y="4724400"/>
          <a:ext cx="2731294" cy="1648302"/>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11" name="TextBox 10">
            <a:extLst>
              <a:ext uri="{FF2B5EF4-FFF2-40B4-BE49-F238E27FC236}">
                <a16:creationId xmlns:a16="http://schemas.microsoft.com/office/drawing/2014/main" id="{ABDF03F6-ACC8-47E3-9301-78173B5CBDFD}"/>
              </a:ext>
            </a:extLst>
          </xdr:cNvPr>
          <xdr:cNvSpPr txBox="1"/>
        </xdr:nvSpPr>
        <xdr:spPr>
          <a:xfrm>
            <a:off x="3943350" y="4330770"/>
            <a:ext cx="2914173" cy="40957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Educational Attainment, Michigan, 2022</a:t>
            </a:r>
          </a:p>
        </xdr:txBody>
      </xdr:sp>
    </xdr:grpSp>
    <xdr:clientData/>
  </xdr:twoCellAnchor>
  <xdr:twoCellAnchor>
    <xdr:from>
      <xdr:col>8</xdr:col>
      <xdr:colOff>428625</xdr:colOff>
      <xdr:row>12</xdr:row>
      <xdr:rowOff>142875</xdr:rowOff>
    </xdr:from>
    <xdr:to>
      <xdr:col>10</xdr:col>
      <xdr:colOff>266700</xdr:colOff>
      <xdr:row>23</xdr:row>
      <xdr:rowOff>477</xdr:rowOff>
    </xdr:to>
    <xdr:grpSp>
      <xdr:nvGrpSpPr>
        <xdr:cNvPr id="13" name="Group 12">
          <a:extLst>
            <a:ext uri="{FF2B5EF4-FFF2-40B4-BE49-F238E27FC236}">
              <a16:creationId xmlns:a16="http://schemas.microsoft.com/office/drawing/2014/main" id="{B8B42EF1-DC4D-4ED3-9691-317AC0301F06}"/>
            </a:ext>
          </a:extLst>
        </xdr:cNvPr>
        <xdr:cNvGrpSpPr/>
      </xdr:nvGrpSpPr>
      <xdr:grpSpPr>
        <a:xfrm>
          <a:off x="7572375" y="2609850"/>
          <a:ext cx="2933700" cy="1953102"/>
          <a:chOff x="3933825" y="4419600"/>
          <a:chExt cx="2933700" cy="1953102"/>
        </a:xfrm>
        <a:solidFill>
          <a:schemeClr val="bg1"/>
        </a:solidFill>
      </xdr:grpSpPr>
      <xdr:graphicFrame macro="">
        <xdr:nvGraphicFramePr>
          <xdr:cNvPr id="14" name="Chart 13">
            <a:extLst>
              <a:ext uri="{FF2B5EF4-FFF2-40B4-BE49-F238E27FC236}">
                <a16:creationId xmlns:a16="http://schemas.microsoft.com/office/drawing/2014/main" id="{C0C0BEE5-E0E2-C2ED-A4C8-80B1C4A7DEAB}"/>
              </a:ext>
            </a:extLst>
          </xdr:cNvPr>
          <xdr:cNvGraphicFramePr>
            <a:graphicFrameLocks/>
          </xdr:cNvGraphicFramePr>
        </xdr:nvGraphicFramePr>
        <xdr:xfrm>
          <a:off x="3933825" y="4705350"/>
          <a:ext cx="2933700" cy="1667352"/>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15" name="TextBox 14">
            <a:extLst>
              <a:ext uri="{FF2B5EF4-FFF2-40B4-BE49-F238E27FC236}">
                <a16:creationId xmlns:a16="http://schemas.microsoft.com/office/drawing/2014/main" id="{30FB5AA5-7C2E-CE57-B3D6-975933D69EEF}"/>
              </a:ext>
            </a:extLst>
          </xdr:cNvPr>
          <xdr:cNvSpPr txBox="1"/>
        </xdr:nvSpPr>
        <xdr:spPr>
          <a:xfrm>
            <a:off x="3933825" y="4419600"/>
            <a:ext cx="2914173" cy="239809"/>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Workforce by Race/Ethnicity, Michigan, 2022</a:t>
            </a:r>
          </a:p>
        </xdr:txBody>
      </xdr:sp>
    </xdr:grpSp>
    <xdr:clientData/>
  </xdr:twoCellAnchor>
  <xdr:twoCellAnchor>
    <xdr:from>
      <xdr:col>12</xdr:col>
      <xdr:colOff>27940</xdr:colOff>
      <xdr:row>7</xdr:row>
      <xdr:rowOff>38100</xdr:rowOff>
    </xdr:from>
    <xdr:to>
      <xdr:col>15</xdr:col>
      <xdr:colOff>76199</xdr:colOff>
      <xdr:row>15</xdr:row>
      <xdr:rowOff>106045</xdr:rowOff>
    </xdr:to>
    <xdr:grpSp>
      <xdr:nvGrpSpPr>
        <xdr:cNvPr id="19" name="Group 18">
          <a:extLst>
            <a:ext uri="{FF2B5EF4-FFF2-40B4-BE49-F238E27FC236}">
              <a16:creationId xmlns:a16="http://schemas.microsoft.com/office/drawing/2014/main" id="{47BFBE26-451A-4FFE-CDFC-6534F772338F}"/>
            </a:ext>
          </a:extLst>
        </xdr:cNvPr>
        <xdr:cNvGrpSpPr/>
      </xdr:nvGrpSpPr>
      <xdr:grpSpPr>
        <a:xfrm>
          <a:off x="11305540" y="1552575"/>
          <a:ext cx="2010409" cy="1591945"/>
          <a:chOff x="11629390" y="3400425"/>
          <a:chExt cx="2010409" cy="1591945"/>
        </a:xfrm>
        <a:solidFill>
          <a:schemeClr val="bg1"/>
        </a:solidFill>
      </xdr:grpSpPr>
      <xdr:sp macro="" textlink="">
        <xdr:nvSpPr>
          <xdr:cNvPr id="4" name="Text Box 86" descr="P306TB307bA#y1">
            <a:extLst>
              <a:ext uri="{FF2B5EF4-FFF2-40B4-BE49-F238E27FC236}">
                <a16:creationId xmlns:a16="http://schemas.microsoft.com/office/drawing/2014/main" id="{1A99360E-2A24-D012-1C56-26C59AD56E5D}"/>
              </a:ext>
            </a:extLst>
          </xdr:cNvPr>
          <xdr:cNvSpPr txBox="1">
            <a:spLocks noChangeArrowheads="1"/>
          </xdr:cNvSpPr>
        </xdr:nvSpPr>
        <xdr:spPr bwMode="auto">
          <a:xfrm>
            <a:off x="11629390" y="3400425"/>
            <a:ext cx="1978025" cy="548640"/>
          </a:xfrm>
          <a:prstGeom prst="rect">
            <a:avLst/>
          </a:prstGeom>
          <a:grpFill/>
          <a:ln w="6350">
            <a:solidFill>
              <a:srgbClr val="000000">
                <a:alpha val="0"/>
              </a:srgb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595959"/>
                </a:solidFill>
                <a:effectLst/>
                <a:latin typeface="Arial" panose="020B0604020202020204" pitchFamily="34" charset="0"/>
                <a:ea typeface="Calibri" panose="020F0502020204030204" pitchFamily="34" charset="0"/>
                <a:cs typeface="Arial" panose="020B0604020202020204" pitchFamily="34" charset="0"/>
              </a:rPr>
              <a:t>Gender Distribution, Michigan, 2022</a:t>
            </a:r>
            <a:endParaRPr lang="en-US" sz="1050" b="1">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5" name="Group 4">
            <a:extLst>
              <a:ext uri="{FF2B5EF4-FFF2-40B4-BE49-F238E27FC236}">
                <a16:creationId xmlns:a16="http://schemas.microsoft.com/office/drawing/2014/main" id="{054C3B1D-2E9F-C1A8-9068-953B00E11F99}"/>
              </a:ext>
            </a:extLst>
          </xdr:cNvPr>
          <xdr:cNvGrpSpPr/>
        </xdr:nvGrpSpPr>
        <xdr:grpSpPr>
          <a:xfrm>
            <a:off x="11717656" y="3837940"/>
            <a:ext cx="1922143" cy="1154430"/>
            <a:chOff x="201931" y="66675"/>
            <a:chExt cx="1922143" cy="1154430"/>
          </a:xfrm>
          <a:grpFill/>
        </xdr:grpSpPr>
        <xdr:sp macro="" textlink="">
          <xdr:nvSpPr>
            <xdr:cNvPr id="6" name="Text Box 16">
              <a:extLst>
                <a:ext uri="{FF2B5EF4-FFF2-40B4-BE49-F238E27FC236}">
                  <a16:creationId xmlns:a16="http://schemas.microsoft.com/office/drawing/2014/main" id="{8CFAC3E3-D0BA-23D3-ED93-B4CF22B4624A}"/>
                </a:ext>
              </a:extLst>
            </xdr:cNvPr>
            <xdr:cNvSpPr txBox="1">
              <a:spLocks noChangeArrowheads="1"/>
            </xdr:cNvSpPr>
          </xdr:nvSpPr>
          <xdr:spPr bwMode="auto">
            <a:xfrm>
              <a:off x="1066799" y="914400"/>
              <a:ext cx="1057275"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D45D00"/>
                  </a:solidFill>
                  <a:effectLst/>
                  <a:latin typeface="Arial" panose="020B0604020202020204" pitchFamily="34" charset="0"/>
                  <a:ea typeface="Calibri" panose="020F0502020204030204" pitchFamily="34" charset="0"/>
                  <a:cs typeface="Arial" panose="020B0604020202020204" pitchFamily="34" charset="0"/>
                </a:rPr>
                <a:t>97.9% Female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grpSp>
          <xdr:nvGrpSpPr>
            <xdr:cNvPr id="10" name="Group 9">
              <a:extLst>
                <a:ext uri="{FF2B5EF4-FFF2-40B4-BE49-F238E27FC236}">
                  <a16:creationId xmlns:a16="http://schemas.microsoft.com/office/drawing/2014/main" id="{69E694B3-728F-C8BD-B301-BCD318D4D480}"/>
                </a:ext>
              </a:extLst>
            </xdr:cNvPr>
            <xdr:cNvGrpSpPr/>
          </xdr:nvGrpSpPr>
          <xdr:grpSpPr>
            <a:xfrm>
              <a:off x="201931" y="66675"/>
              <a:ext cx="1804985" cy="1144905"/>
              <a:chOff x="201931" y="66675"/>
              <a:chExt cx="1804985" cy="1144905"/>
            </a:xfrm>
            <a:grpFill/>
          </xdr:grpSpPr>
          <xdr:sp macro="" textlink="">
            <xdr:nvSpPr>
              <xdr:cNvPr id="16" name="Text Box 15">
                <a:extLst>
                  <a:ext uri="{FF2B5EF4-FFF2-40B4-BE49-F238E27FC236}">
                    <a16:creationId xmlns:a16="http://schemas.microsoft.com/office/drawing/2014/main" id="{B2C14089-85E0-63E9-F7D7-26B52FCA8E33}"/>
                  </a:ext>
                </a:extLst>
              </xdr:cNvPr>
              <xdr:cNvSpPr txBox="1">
                <a:spLocks noChangeArrowheads="1"/>
              </xdr:cNvSpPr>
            </xdr:nvSpPr>
            <xdr:spPr bwMode="auto">
              <a:xfrm>
                <a:off x="201931" y="904875"/>
                <a:ext cx="952499" cy="306705"/>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0" marR="0" algn="ctr">
                  <a:spcBef>
                    <a:spcPts val="0"/>
                  </a:spcBef>
                  <a:spcAft>
                    <a:spcPts val="0"/>
                  </a:spcAft>
                </a:pPr>
                <a:r>
                  <a:rPr lang="en-US" sz="1000" b="1">
                    <a:solidFill>
                      <a:srgbClr val="003E51"/>
                    </a:solidFill>
                    <a:effectLst/>
                    <a:latin typeface="Arial" panose="020B0604020202020204" pitchFamily="34" charset="0"/>
                    <a:ea typeface="Calibri" panose="020F0502020204030204" pitchFamily="34" charset="0"/>
                    <a:cs typeface="Arial" panose="020B0604020202020204" pitchFamily="34" charset="0"/>
                  </a:rPr>
                  <a:t>2.1% Male</a:t>
                </a:r>
                <a:endParaRPr lang="en-US" sz="1050">
                  <a:solidFill>
                    <a:srgbClr val="595959"/>
                  </a:solidFill>
                  <a:effectLst/>
                  <a:latin typeface="Arial" panose="020B0604020202020204" pitchFamily="34" charset="0"/>
                  <a:ea typeface="Calibri" panose="020F0502020204030204" pitchFamily="34" charset="0"/>
                  <a:cs typeface="Times New Roman (Body CS)"/>
                </a:endParaRPr>
              </a:p>
              <a:p>
                <a:pPr marL="0" marR="0" algn="ctr">
                  <a:spcBef>
                    <a:spcPts val="0"/>
                  </a:spcBef>
                  <a:spcAft>
                    <a:spcPts val="0"/>
                  </a:spcAft>
                </a:pPr>
                <a:r>
                  <a:rPr lang="en-US" sz="1050" b="1">
                    <a:solidFill>
                      <a:srgbClr val="595959"/>
                    </a:solidFill>
                    <a:effectLst/>
                    <a:latin typeface="Arial" panose="020B0604020202020204" pitchFamily="34" charset="0"/>
                    <a:ea typeface="Calibri" panose="020F0502020204030204" pitchFamily="34" charset="0"/>
                    <a:cs typeface="Times New Roman (Body CS)"/>
                  </a:rPr>
                  <a:t> </a:t>
                </a:r>
                <a:endParaRPr lang="en-US" sz="1050">
                  <a:solidFill>
                    <a:srgbClr val="595959"/>
                  </a:solidFill>
                  <a:effectLst/>
                  <a:latin typeface="Arial" panose="020B0604020202020204" pitchFamily="34" charset="0"/>
                  <a:ea typeface="Calibri" panose="020F0502020204030204" pitchFamily="34" charset="0"/>
                  <a:cs typeface="Times New Roman (Body CS)"/>
                </a:endParaRPr>
              </a:p>
            </xdr:txBody>
          </xdr:sp>
          <xdr:pic>
            <xdr:nvPicPr>
              <xdr:cNvPr id="17" name="Graphic 4" descr="Man outline">
                <a:extLst>
                  <a:ext uri="{FF2B5EF4-FFF2-40B4-BE49-F238E27FC236}">
                    <a16:creationId xmlns:a16="http://schemas.microsoft.com/office/drawing/2014/main" id="{77DCFC15-3F27-4112-5171-A5519DF6E78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l="-67438" t="-1894" r="-66370" b="-1814"/>
              <a:stretch>
                <a:fillRect/>
              </a:stretch>
            </xdr:blipFill>
            <xdr:spPr bwMode="auto">
              <a:xfrm>
                <a:off x="266700" y="66675"/>
                <a:ext cx="822960" cy="822960"/>
              </a:xfrm>
              <a:prstGeom prst="rect">
                <a:avLst/>
              </a:prstGeom>
              <a:grpFill/>
            </xdr:spPr>
          </xdr:pic>
          <xdr:pic>
            <xdr:nvPicPr>
              <xdr:cNvPr id="18" name="Graphic 6" descr="Woman outline">
                <a:extLst>
                  <a:ext uri="{FF2B5EF4-FFF2-40B4-BE49-F238E27FC236}">
                    <a16:creationId xmlns:a16="http://schemas.microsoft.com/office/drawing/2014/main" id="{217CA2F3-35B9-2990-7EC4-7559A12EB72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78406" t="-2306" r="-77917" b="-2464"/>
              <a:stretch>
                <a:fillRect/>
              </a:stretch>
            </xdr:blipFill>
            <xdr:spPr bwMode="auto">
              <a:xfrm>
                <a:off x="1183956" y="66675"/>
                <a:ext cx="822960" cy="822960"/>
              </a:xfrm>
              <a:prstGeom prst="rect">
                <a:avLst/>
              </a:prstGeom>
              <a:grpFill/>
            </xdr:spPr>
          </xdr:pic>
        </xdr:grpSp>
      </xdr:grpSp>
    </xdr:grpSp>
    <xdr:clientData/>
  </xdr:twoCellAnchor>
  <xdr:twoCellAnchor>
    <xdr:from>
      <xdr:col>0</xdr:col>
      <xdr:colOff>66675</xdr:colOff>
      <xdr:row>23</xdr:row>
      <xdr:rowOff>95250</xdr:rowOff>
    </xdr:from>
    <xdr:to>
      <xdr:col>2</xdr:col>
      <xdr:colOff>657225</xdr:colOff>
      <xdr:row>26</xdr:row>
      <xdr:rowOff>171450</xdr:rowOff>
    </xdr:to>
    <xdr:sp macro="" textlink="">
      <xdr:nvSpPr>
        <xdr:cNvPr id="20" name="TextBox 19">
          <a:extLst>
            <a:ext uri="{FF2B5EF4-FFF2-40B4-BE49-F238E27FC236}">
              <a16:creationId xmlns:a16="http://schemas.microsoft.com/office/drawing/2014/main" id="{59EE4EF6-5C0C-1049-C992-CFBDFC64F02C}"/>
            </a:ext>
          </a:extLst>
        </xdr:cNvPr>
        <xdr:cNvSpPr txBox="1"/>
      </xdr:nvSpPr>
      <xdr:spPr>
        <a:xfrm>
          <a:off x="66675" y="4591050"/>
          <a:ext cx="303847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a:t>
          </a:r>
          <a:r>
            <a:rPr lang="en-US" sz="1000" b="0" i="1">
              <a:solidFill>
                <a:schemeClr val="dk1"/>
              </a:solidFill>
              <a:effectLst/>
              <a:latin typeface="Arial" panose="020B0604020202020204" pitchFamily="34" charset="0"/>
              <a:ea typeface="+mn-ea"/>
              <a:cs typeface="Arial" panose="020B0604020202020204" pitchFamily="34" charset="0"/>
            </a:rPr>
            <a:t>: A combination of detailed Industry Demographics, staffing patterns, and American Community Survey.</a:t>
          </a:r>
          <a:endParaRPr lang="en-US" sz="1000" i="1">
            <a:latin typeface="Arial" panose="020B0604020202020204" pitchFamily="34" charset="0"/>
            <a:cs typeface="Arial" panose="020B0604020202020204" pitchFamily="34" charset="0"/>
          </a:endParaRPr>
        </a:p>
      </xdr:txBody>
    </xdr:sp>
    <xdr:clientData/>
  </xdr:twoCellAnchor>
  <xdr:twoCellAnchor>
    <xdr:from>
      <xdr:col>4</xdr:col>
      <xdr:colOff>219075</xdr:colOff>
      <xdr:row>23</xdr:row>
      <xdr:rowOff>133350</xdr:rowOff>
    </xdr:from>
    <xdr:to>
      <xdr:col>6</xdr:col>
      <xdr:colOff>704850</xdr:colOff>
      <xdr:row>27</xdr:row>
      <xdr:rowOff>19050</xdr:rowOff>
    </xdr:to>
    <xdr:sp macro="" textlink="">
      <xdr:nvSpPr>
        <xdr:cNvPr id="21" name="TextBox 20">
          <a:extLst>
            <a:ext uri="{FF2B5EF4-FFF2-40B4-BE49-F238E27FC236}">
              <a16:creationId xmlns:a16="http://schemas.microsoft.com/office/drawing/2014/main" id="{5103995E-CB64-4DD8-AFB8-45979B4275CC}"/>
            </a:ext>
          </a:extLst>
        </xdr:cNvPr>
        <xdr:cNvSpPr txBox="1"/>
      </xdr:nvSpPr>
      <xdr:spPr>
        <a:xfrm>
          <a:off x="3686175" y="4629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The Bureau of Labor Statistics' (BLS) Education and Training Measurements for Workers 25 Years and Older by Detailed Occupation.</a:t>
          </a:r>
          <a:endParaRPr lang="en-US" sz="1000" b="0" i="1">
            <a:latin typeface="Arial" panose="020B0604020202020204" pitchFamily="34" charset="0"/>
            <a:cs typeface="Arial" panose="020B0604020202020204" pitchFamily="34" charset="0"/>
          </a:endParaRPr>
        </a:p>
      </xdr:txBody>
    </xdr:sp>
    <xdr:clientData/>
  </xdr:twoCellAnchor>
  <xdr:twoCellAnchor>
    <xdr:from>
      <xdr:col>8</xdr:col>
      <xdr:colOff>342900</xdr:colOff>
      <xdr:row>23</xdr:row>
      <xdr:rowOff>123825</xdr:rowOff>
    </xdr:from>
    <xdr:to>
      <xdr:col>10</xdr:col>
      <xdr:colOff>333375</xdr:colOff>
      <xdr:row>27</xdr:row>
      <xdr:rowOff>9525</xdr:rowOff>
    </xdr:to>
    <xdr:sp macro="" textlink="">
      <xdr:nvSpPr>
        <xdr:cNvPr id="22" name="TextBox 21">
          <a:extLst>
            <a:ext uri="{FF2B5EF4-FFF2-40B4-BE49-F238E27FC236}">
              <a16:creationId xmlns:a16="http://schemas.microsoft.com/office/drawing/2014/main" id="{2D5776E4-1881-4220-BCF9-595F5294A1B0}"/>
            </a:ext>
          </a:extLst>
        </xdr:cNvPr>
        <xdr:cNvSpPr txBox="1"/>
      </xdr:nvSpPr>
      <xdr:spPr>
        <a:xfrm>
          <a:off x="7486650" y="4619625"/>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twoCellAnchor>
    <xdr:from>
      <xdr:col>11</xdr:col>
      <xdr:colOff>123825</xdr:colOff>
      <xdr:row>15</xdr:row>
      <xdr:rowOff>133350</xdr:rowOff>
    </xdr:from>
    <xdr:to>
      <xdr:col>17</xdr:col>
      <xdr:colOff>219075</xdr:colOff>
      <xdr:row>19</xdr:row>
      <xdr:rowOff>19050</xdr:rowOff>
    </xdr:to>
    <xdr:sp macro="" textlink="">
      <xdr:nvSpPr>
        <xdr:cNvPr id="23" name="TextBox 22">
          <a:extLst>
            <a:ext uri="{FF2B5EF4-FFF2-40B4-BE49-F238E27FC236}">
              <a16:creationId xmlns:a16="http://schemas.microsoft.com/office/drawing/2014/main" id="{0DE785A7-256A-4FDA-BA00-E18FB6F8FA59}"/>
            </a:ext>
          </a:extLst>
        </xdr:cNvPr>
        <xdr:cNvSpPr txBox="1"/>
      </xdr:nvSpPr>
      <xdr:spPr>
        <a:xfrm>
          <a:off x="11249025" y="3105150"/>
          <a:ext cx="3086100"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A combination of detailed Industry Demographics, staffing patterns, and the American Community Survey.</a:t>
          </a:r>
          <a:endParaRPr lang="en-US" sz="1000" b="0" i="1">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xdr:colOff>
      <xdr:row>0</xdr:row>
      <xdr:rowOff>22224</xdr:rowOff>
    </xdr:from>
    <xdr:to>
      <xdr:col>0</xdr:col>
      <xdr:colOff>1457326</xdr:colOff>
      <xdr:row>0</xdr:row>
      <xdr:rowOff>285750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51EAD42-EF38-4468-85E4-D5C33391F2BE}"/>
            </a:ext>
          </a:extLst>
        </xdr:cNvPr>
        <xdr:cNvSpPr/>
      </xdr:nvSpPr>
      <xdr:spPr>
        <a:xfrm>
          <a:off x="2" y="22224"/>
          <a:ext cx="1457324" cy="263526"/>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8</xdr:col>
      <xdr:colOff>238125</xdr:colOff>
      <xdr:row>2</xdr:row>
      <xdr:rowOff>95250</xdr:rowOff>
    </xdr:from>
    <xdr:to>
      <xdr:col>13</xdr:col>
      <xdr:colOff>254889</xdr:colOff>
      <xdr:row>12</xdr:row>
      <xdr:rowOff>160782</xdr:rowOff>
    </xdr:to>
    <xdr:grpSp>
      <xdr:nvGrpSpPr>
        <xdr:cNvPr id="5" name="Group 4">
          <a:extLst>
            <a:ext uri="{FF2B5EF4-FFF2-40B4-BE49-F238E27FC236}">
              <a16:creationId xmlns:a16="http://schemas.microsoft.com/office/drawing/2014/main" id="{B70623B2-6CD4-0C56-5164-1557DBA11E14}"/>
            </a:ext>
          </a:extLst>
        </xdr:cNvPr>
        <xdr:cNvGrpSpPr/>
      </xdr:nvGrpSpPr>
      <xdr:grpSpPr>
        <a:xfrm>
          <a:off x="7553325" y="581025"/>
          <a:ext cx="3026664" cy="2322957"/>
          <a:chOff x="5400675" y="600075"/>
          <a:chExt cx="2914173" cy="3057525"/>
        </a:xfrm>
      </xdr:grpSpPr>
      <xdr:graphicFrame macro="">
        <xdr:nvGraphicFramePr>
          <xdr:cNvPr id="3" name="Chart 2">
            <a:extLst>
              <a:ext uri="{FF2B5EF4-FFF2-40B4-BE49-F238E27FC236}">
                <a16:creationId xmlns:a16="http://schemas.microsoft.com/office/drawing/2014/main" id="{206FDDF1-DB56-46F6-B0DC-2B1EEA59B0C6}"/>
              </a:ext>
            </a:extLst>
          </xdr:cNvPr>
          <xdr:cNvGraphicFramePr>
            <a:graphicFrameLocks/>
          </xdr:cNvGraphicFramePr>
        </xdr:nvGraphicFramePr>
        <xdr:xfrm>
          <a:off x="5493681" y="1015750"/>
          <a:ext cx="2735681" cy="264185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4" name="TextBox 3">
            <a:extLst>
              <a:ext uri="{FF2B5EF4-FFF2-40B4-BE49-F238E27FC236}">
                <a16:creationId xmlns:a16="http://schemas.microsoft.com/office/drawing/2014/main" id="{112BEF0E-7807-418B-A931-99FD5B5A0B5E}"/>
              </a:ext>
            </a:extLst>
          </xdr:cNvPr>
          <xdr:cNvSpPr txBox="1"/>
        </xdr:nvSpPr>
        <xdr:spPr>
          <a:xfrm>
            <a:off x="5400675" y="600075"/>
            <a:ext cx="2914173" cy="409575"/>
          </a:xfrm>
          <a:prstGeom prst="rect">
            <a:avLst/>
          </a:prstGeom>
          <a:solidFill>
            <a:schemeClr val="bg1"/>
          </a:solid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a:solidFill>
                  <a:schemeClr val="tx1">
                    <a:lumMod val="65000"/>
                    <a:lumOff val="35000"/>
                  </a:schemeClr>
                </a:solidFill>
                <a:latin typeface="Arial" panose="020B0604020202020204" pitchFamily="34" charset="0"/>
                <a:cs typeface="Arial" panose="020B0604020202020204" pitchFamily="34" charset="0"/>
              </a:rPr>
              <a:t>Share of Skills Overlap with ECE </a:t>
            </a:r>
            <a:r>
              <a:rPr lang="en-US" sz="1000" b="1" baseline="0">
                <a:solidFill>
                  <a:schemeClr val="tx1">
                    <a:lumMod val="65000"/>
                    <a:lumOff val="35000"/>
                  </a:schemeClr>
                </a:solidFill>
                <a:latin typeface="Arial" panose="020B0604020202020204" pitchFamily="34" charset="0"/>
                <a:cs typeface="Arial" panose="020B0604020202020204" pitchFamily="34" charset="0"/>
              </a:rPr>
              <a:t>Lead Teacher</a:t>
            </a:r>
            <a:endParaRPr lang="en-US" sz="1000" b="1">
              <a:solidFill>
                <a:schemeClr val="tx1">
                  <a:lumMod val="65000"/>
                  <a:lumOff val="35000"/>
                </a:schemeClr>
              </a:solidFill>
              <a:latin typeface="Arial" panose="020B0604020202020204" pitchFamily="34" charset="0"/>
              <a:cs typeface="Arial" panose="020B0604020202020204" pitchFamily="34" charset="0"/>
            </a:endParaRPr>
          </a:p>
        </xdr:txBody>
      </xdr:sp>
    </xdr:grpSp>
    <xdr:clientData/>
  </xdr:twoCellAnchor>
  <xdr:twoCellAnchor>
    <xdr:from>
      <xdr:col>1</xdr:col>
      <xdr:colOff>106679</xdr:colOff>
      <xdr:row>53</xdr:row>
      <xdr:rowOff>139065</xdr:rowOff>
    </xdr:from>
    <xdr:to>
      <xdr:col>14</xdr:col>
      <xdr:colOff>344805</xdr:colOff>
      <xdr:row>57</xdr:row>
      <xdr:rowOff>32385</xdr:rowOff>
    </xdr:to>
    <xdr:sp macro="" textlink="">
      <xdr:nvSpPr>
        <xdr:cNvPr id="16" name="TextBox 15">
          <a:extLst>
            <a:ext uri="{FF2B5EF4-FFF2-40B4-BE49-F238E27FC236}">
              <a16:creationId xmlns:a16="http://schemas.microsoft.com/office/drawing/2014/main" id="{1D37941E-B5BA-457F-984D-4A37B5A0E0BC}"/>
            </a:ext>
          </a:extLst>
        </xdr:cNvPr>
        <xdr:cNvSpPr txBox="1"/>
      </xdr:nvSpPr>
      <xdr:spPr>
        <a:xfrm>
          <a:off x="2682239" y="11325225"/>
          <a:ext cx="8863966" cy="6248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14</xdr:col>
      <xdr:colOff>47622</xdr:colOff>
      <xdr:row>1</xdr:row>
      <xdr:rowOff>52387</xdr:rowOff>
    </xdr:from>
    <xdr:to>
      <xdr:col>28</xdr:col>
      <xdr:colOff>466725</xdr:colOff>
      <xdr:row>16</xdr:row>
      <xdr:rowOff>114300</xdr:rowOff>
    </xdr:to>
    <xdr:grpSp>
      <xdr:nvGrpSpPr>
        <xdr:cNvPr id="19" name="Group 18">
          <a:extLst>
            <a:ext uri="{FF2B5EF4-FFF2-40B4-BE49-F238E27FC236}">
              <a16:creationId xmlns:a16="http://schemas.microsoft.com/office/drawing/2014/main" id="{F4FA5F27-44FB-7E82-74A3-5FED10E94C04}"/>
            </a:ext>
          </a:extLst>
        </xdr:cNvPr>
        <xdr:cNvGrpSpPr/>
      </xdr:nvGrpSpPr>
      <xdr:grpSpPr>
        <a:xfrm>
          <a:off x="10934697" y="347662"/>
          <a:ext cx="8343903" cy="3271838"/>
          <a:chOff x="11249015" y="341947"/>
          <a:chExt cx="9858685" cy="3338513"/>
        </a:xfrm>
      </xdr:grpSpPr>
      <xdr:grpSp>
        <xdr:nvGrpSpPr>
          <xdr:cNvPr id="15" name="Group 14">
            <a:extLst>
              <a:ext uri="{FF2B5EF4-FFF2-40B4-BE49-F238E27FC236}">
                <a16:creationId xmlns:a16="http://schemas.microsoft.com/office/drawing/2014/main" id="{FCCC6A4D-AC49-836F-015B-B58F06A9A815}"/>
              </a:ext>
            </a:extLst>
          </xdr:cNvPr>
          <xdr:cNvGrpSpPr/>
        </xdr:nvGrpSpPr>
        <xdr:grpSpPr>
          <a:xfrm>
            <a:off x="11249015" y="341947"/>
            <a:ext cx="9858685" cy="3338513"/>
            <a:chOff x="11182342" y="500062"/>
            <a:chExt cx="10239571" cy="3252788"/>
          </a:xfrm>
        </xdr:grpSpPr>
        <xdr:grpSp>
          <xdr:nvGrpSpPr>
            <xdr:cNvPr id="12" name="Group 11">
              <a:extLst>
                <a:ext uri="{FF2B5EF4-FFF2-40B4-BE49-F238E27FC236}">
                  <a16:creationId xmlns:a16="http://schemas.microsoft.com/office/drawing/2014/main" id="{DA0ACC8E-333F-F84F-59E8-3A9C3D0AF8ED}"/>
                </a:ext>
              </a:extLst>
            </xdr:cNvPr>
            <xdr:cNvGrpSpPr/>
          </xdr:nvGrpSpPr>
          <xdr:grpSpPr>
            <a:xfrm>
              <a:off x="11182342" y="500062"/>
              <a:ext cx="10239571" cy="3252788"/>
              <a:chOff x="8410567" y="538162"/>
              <a:chExt cx="10259058" cy="2909888"/>
            </a:xfrm>
            <a:solidFill>
              <a:schemeClr val="bg1"/>
            </a:solidFill>
          </xdr:grpSpPr>
          <xdr:graphicFrame macro="">
            <xdr:nvGraphicFramePr>
              <xdr:cNvPr id="6" name="Chart 5">
                <a:extLst>
                  <a:ext uri="{FF2B5EF4-FFF2-40B4-BE49-F238E27FC236}">
                    <a16:creationId xmlns:a16="http://schemas.microsoft.com/office/drawing/2014/main" id="{8F39C4D2-0A13-C96B-4FF0-9A8D09A0510D}"/>
                  </a:ext>
                </a:extLst>
              </xdr:cNvPr>
              <xdr:cNvGraphicFramePr/>
            </xdr:nvGraphicFramePr>
            <xdr:xfrm>
              <a:off x="8410567" y="538162"/>
              <a:ext cx="8439148" cy="2909888"/>
            </xdr:xfrm>
            <a:graphic>
              <a:graphicData uri="http://schemas.openxmlformats.org/drawingml/2006/chart">
                <c:chart xmlns:c="http://schemas.openxmlformats.org/drawingml/2006/chart" xmlns:r="http://schemas.openxmlformats.org/officeDocument/2006/relationships" r:id="rId3"/>
              </a:graphicData>
            </a:graphic>
          </xdr:graphicFrame>
          <xdr:sp macro="" textlink="">
            <xdr:nvSpPr>
              <xdr:cNvPr id="7" name="TextBox 6">
                <a:extLst>
                  <a:ext uri="{FF2B5EF4-FFF2-40B4-BE49-F238E27FC236}">
                    <a16:creationId xmlns:a16="http://schemas.microsoft.com/office/drawing/2014/main" id="{B59E5F8E-81DB-4A17-8F80-955B247DA376}"/>
                  </a:ext>
                </a:extLst>
              </xdr:cNvPr>
              <xdr:cNvSpPr txBox="1"/>
            </xdr:nvSpPr>
            <xdr:spPr>
              <a:xfrm>
                <a:off x="9848850" y="542925"/>
                <a:ext cx="5486400" cy="238125"/>
              </a:xfrm>
              <a:prstGeom prst="rect">
                <a:avLst/>
              </a:prstGeom>
              <a:grp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Median Wage of</a:t>
                </a:r>
                <a:r>
                  <a:rPr lang="en-US" sz="1000" b="1">
                    <a:solidFill>
                      <a:schemeClr val="tx1">
                        <a:lumMod val="65000"/>
                        <a:lumOff val="35000"/>
                      </a:schemeClr>
                    </a:solidFill>
                    <a:latin typeface="Arial" panose="020B0604020202020204" pitchFamily="34" charset="0"/>
                    <a:cs typeface="Arial" panose="020B0604020202020204" pitchFamily="34" charset="0"/>
                  </a:rPr>
                  <a:t> Top</a:t>
                </a:r>
                <a:r>
                  <a:rPr lang="en-US" sz="1000" b="1" baseline="0">
                    <a:solidFill>
                      <a:schemeClr val="tx1">
                        <a:lumMod val="65000"/>
                        <a:lumOff val="35000"/>
                      </a:schemeClr>
                    </a:solidFill>
                    <a:latin typeface="Arial" panose="020B0604020202020204" pitchFamily="34" charset="0"/>
                    <a:cs typeface="Arial" panose="020B0604020202020204" pitchFamily="34" charset="0"/>
                  </a:rPr>
                  <a:t> </a:t>
                </a:r>
                <a:r>
                  <a:rPr lang="en-US" sz="1000" b="1">
                    <a:solidFill>
                      <a:schemeClr val="tx1">
                        <a:lumMod val="65000"/>
                        <a:lumOff val="35000"/>
                      </a:schemeClr>
                    </a:solidFill>
                    <a:latin typeface="Arial" panose="020B0604020202020204" pitchFamily="34" charset="0"/>
                    <a:cs typeface="Arial" panose="020B0604020202020204" pitchFamily="34" charset="0"/>
                  </a:rPr>
                  <a:t>Comparable Roles,</a:t>
                </a:r>
                <a:r>
                  <a:rPr lang="en-US" sz="1000" b="1" baseline="0">
                    <a:solidFill>
                      <a:schemeClr val="tx1">
                        <a:lumMod val="65000"/>
                        <a:lumOff val="35000"/>
                      </a:schemeClr>
                    </a:solidFill>
                    <a:latin typeface="Arial" panose="020B0604020202020204" pitchFamily="34" charset="0"/>
                    <a:cs typeface="Arial" panose="020B0604020202020204" pitchFamily="34" charset="0"/>
                  </a:rPr>
                  <a:t> Lead Teacher</a:t>
                </a:r>
                <a:r>
                  <a:rPr lang="en-US" sz="1000" b="1">
                    <a:solidFill>
                      <a:schemeClr val="tx1">
                        <a:lumMod val="65000"/>
                        <a:lumOff val="35000"/>
                      </a:schemeClr>
                    </a:solidFill>
                    <a:latin typeface="Arial" panose="020B0604020202020204" pitchFamily="34" charset="0"/>
                    <a:cs typeface="Arial" panose="020B0604020202020204" pitchFamily="34" charset="0"/>
                  </a:rPr>
                  <a:t>, Michigan, 2022</a:t>
                </a:r>
              </a:p>
            </xdr:txBody>
          </xdr:sp>
          <xdr:cxnSp macro="">
            <xdr:nvCxnSpPr>
              <xdr:cNvPr id="10" name="Straight Connector 9">
                <a:extLst>
                  <a:ext uri="{FF2B5EF4-FFF2-40B4-BE49-F238E27FC236}">
                    <a16:creationId xmlns:a16="http://schemas.microsoft.com/office/drawing/2014/main" id="{16D1447E-A875-47B7-BAAF-BBC3462CBEFC}"/>
                  </a:ext>
                </a:extLst>
              </xdr:cNvPr>
              <xdr:cNvCxnSpPr/>
            </xdr:nvCxnSpPr>
            <xdr:spPr>
              <a:xfrm>
                <a:off x="9001681" y="2021076"/>
                <a:ext cx="8613538" cy="10855"/>
              </a:xfrm>
              <a:prstGeom prst="line">
                <a:avLst/>
              </a:prstGeom>
              <a:grpFill/>
              <a:ln w="28575">
                <a:solidFill>
                  <a:srgbClr val="D45D00"/>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1" name="TextBox 10">
                <a:extLst>
                  <a:ext uri="{FF2B5EF4-FFF2-40B4-BE49-F238E27FC236}">
                    <a16:creationId xmlns:a16="http://schemas.microsoft.com/office/drawing/2014/main" id="{E5A69CE4-DDEE-4DB9-AF95-BFCE4947569F}"/>
                  </a:ext>
                </a:extLst>
              </xdr:cNvPr>
              <xdr:cNvSpPr txBox="1"/>
            </xdr:nvSpPr>
            <xdr:spPr>
              <a:xfrm>
                <a:off x="16654386" y="2020392"/>
                <a:ext cx="2015239" cy="438351"/>
              </a:xfrm>
              <a:prstGeom prst="rect">
                <a:avLst/>
              </a:prstGeom>
              <a:grpFill/>
              <a:ln w="9525" cmpd="sng">
                <a:solidFill>
                  <a:srgbClr val="D45D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D45D00"/>
                    </a:solidFill>
                    <a:latin typeface="Arial" panose="020B0604020202020204" pitchFamily="34" charset="0"/>
                    <a:cs typeface="Arial" panose="020B0604020202020204" pitchFamily="34" charset="0"/>
                  </a:rPr>
                  <a:t>$16.03</a:t>
                </a:r>
              </a:p>
              <a:p>
                <a:endParaRPr lang="en-US" sz="200" b="1">
                  <a:solidFill>
                    <a:srgbClr val="D45D00"/>
                  </a:solidFill>
                  <a:latin typeface="Arial" panose="020B0604020202020204" pitchFamily="34" charset="0"/>
                  <a:cs typeface="Arial" panose="020B0604020202020204" pitchFamily="34" charset="0"/>
                </a:endParaRPr>
              </a:p>
              <a:p>
                <a:r>
                  <a:rPr lang="en-US" sz="800" b="1">
                    <a:solidFill>
                      <a:srgbClr val="D45D00"/>
                    </a:solidFill>
                    <a:latin typeface="Arial" panose="020B0604020202020204" pitchFamily="34" charset="0"/>
                    <a:cs typeface="Arial" panose="020B0604020202020204" pitchFamily="34" charset="0"/>
                  </a:rPr>
                  <a:t>Lead Teacher</a:t>
                </a:r>
                <a:endParaRPr lang="en-US" sz="800" b="1" baseline="0">
                  <a:solidFill>
                    <a:srgbClr val="D45D00"/>
                  </a:solidFill>
                  <a:latin typeface="Arial" panose="020B0604020202020204" pitchFamily="34" charset="0"/>
                  <a:cs typeface="Arial" panose="020B0604020202020204" pitchFamily="34" charset="0"/>
                </a:endParaRPr>
              </a:p>
              <a:p>
                <a:r>
                  <a:rPr lang="en-US" sz="700" b="0" i="1" baseline="0">
                    <a:solidFill>
                      <a:srgbClr val="D45D00"/>
                    </a:solidFill>
                    <a:latin typeface="Arial" panose="020B0604020202020204" pitchFamily="34" charset="0"/>
                    <a:cs typeface="Arial" panose="020B0604020202020204" pitchFamily="34" charset="0"/>
                  </a:rPr>
                  <a:t>Current Median Wage, Michigan</a:t>
                </a:r>
                <a:endParaRPr lang="en-US" sz="700" b="0" i="1">
                  <a:solidFill>
                    <a:srgbClr val="D45D00"/>
                  </a:solidFill>
                  <a:latin typeface="Arial" panose="020B0604020202020204" pitchFamily="34" charset="0"/>
                  <a:cs typeface="Arial" panose="020B0604020202020204" pitchFamily="34" charset="0"/>
                </a:endParaRPr>
              </a:p>
            </xdr:txBody>
          </xdr:sp>
        </xdr:grpSp>
        <xdr:cxnSp macro="">
          <xdr:nvCxnSpPr>
            <xdr:cNvPr id="13" name="Straight Connector 12">
              <a:extLst>
                <a:ext uri="{FF2B5EF4-FFF2-40B4-BE49-F238E27FC236}">
                  <a16:creationId xmlns:a16="http://schemas.microsoft.com/office/drawing/2014/main" id="{8B26FA4F-2302-4DA9-9711-E7B043508D21}"/>
                </a:ext>
              </a:extLst>
            </xdr:cNvPr>
            <xdr:cNvCxnSpPr/>
          </xdr:nvCxnSpPr>
          <xdr:spPr>
            <a:xfrm>
              <a:off x="11744861" y="1232258"/>
              <a:ext cx="8597178" cy="12134"/>
            </a:xfrm>
            <a:prstGeom prst="line">
              <a:avLst/>
            </a:prstGeom>
            <a:solidFill>
              <a:schemeClr val="bg1"/>
            </a:solidFill>
            <a:ln w="28575">
              <a:solidFill>
                <a:srgbClr val="A2AE74"/>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4" name="TextBox 13">
              <a:extLst>
                <a:ext uri="{FF2B5EF4-FFF2-40B4-BE49-F238E27FC236}">
                  <a16:creationId xmlns:a16="http://schemas.microsoft.com/office/drawing/2014/main" id="{FE1C6566-1247-4B56-A394-AD49BAA4EEBE}"/>
                </a:ext>
              </a:extLst>
            </xdr:cNvPr>
            <xdr:cNvSpPr txBox="1"/>
          </xdr:nvSpPr>
          <xdr:spPr>
            <a:xfrm>
              <a:off x="19400474" y="1219310"/>
              <a:ext cx="1986372" cy="490006"/>
            </a:xfrm>
            <a:prstGeom prst="rect">
              <a:avLst/>
            </a:prstGeom>
            <a:solidFill>
              <a:schemeClr val="bg1"/>
            </a:solidFill>
            <a:ln w="9525" cmpd="sng">
              <a:solidFill>
                <a:srgbClr val="A2AE7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A2AE74"/>
                  </a:solidFill>
                  <a:latin typeface="Arial" panose="020B0604020202020204" pitchFamily="34" charset="0"/>
                  <a:cs typeface="Arial" panose="020B0604020202020204" pitchFamily="34" charset="0"/>
                </a:rPr>
                <a:t>$29.02</a:t>
              </a:r>
            </a:p>
            <a:p>
              <a:endParaRPr lang="en-US" sz="200" b="1">
                <a:solidFill>
                  <a:srgbClr val="A2AE74"/>
                </a:solidFill>
                <a:latin typeface="Arial" panose="020B0604020202020204" pitchFamily="34" charset="0"/>
                <a:cs typeface="Arial" panose="020B0604020202020204" pitchFamily="34" charset="0"/>
              </a:endParaRPr>
            </a:p>
            <a:p>
              <a:r>
                <a:rPr lang="en-US" sz="800" b="1">
                  <a:solidFill>
                    <a:srgbClr val="A2AE74"/>
                  </a:solidFill>
                  <a:latin typeface="Arial" panose="020B0604020202020204" pitchFamily="34" charset="0"/>
                  <a:cs typeface="Arial" panose="020B0604020202020204" pitchFamily="34" charset="0"/>
                </a:rPr>
                <a:t>Lead Teacher, Preschool</a:t>
              </a:r>
              <a:endParaRPr lang="en-US" sz="800" b="1" baseline="0">
                <a:solidFill>
                  <a:srgbClr val="A2AE74"/>
                </a:solidFill>
                <a:latin typeface="Arial" panose="020B0604020202020204" pitchFamily="34" charset="0"/>
                <a:cs typeface="Arial" panose="020B0604020202020204" pitchFamily="34" charset="0"/>
              </a:endParaRPr>
            </a:p>
            <a:p>
              <a:r>
                <a:rPr lang="en-US" sz="700" b="0" i="1" baseline="0">
                  <a:solidFill>
                    <a:srgbClr val="A2AE74"/>
                  </a:solidFill>
                  <a:latin typeface="Arial" panose="020B0604020202020204" pitchFamily="34" charset="0"/>
                  <a:cs typeface="Arial" panose="020B0604020202020204" pitchFamily="34" charset="0"/>
                </a:rPr>
                <a:t>Proposed Base Wage, Michigan</a:t>
              </a:r>
            </a:p>
          </xdr:txBody>
        </xdr:sp>
      </xdr:grpSp>
      <xdr:cxnSp macro="">
        <xdr:nvCxnSpPr>
          <xdr:cNvPr id="17" name="Straight Connector 16">
            <a:extLst>
              <a:ext uri="{FF2B5EF4-FFF2-40B4-BE49-F238E27FC236}">
                <a16:creationId xmlns:a16="http://schemas.microsoft.com/office/drawing/2014/main" id="{C56888B8-9AC0-4544-90EF-CDACB7DF89B1}"/>
              </a:ext>
            </a:extLst>
          </xdr:cNvPr>
          <xdr:cNvCxnSpPr/>
        </xdr:nvCxnSpPr>
        <xdr:spPr>
          <a:xfrm>
            <a:off x="11790043" y="957217"/>
            <a:ext cx="8277384" cy="12454"/>
          </a:xfrm>
          <a:prstGeom prst="line">
            <a:avLst/>
          </a:prstGeom>
          <a:solidFill>
            <a:schemeClr val="bg1"/>
          </a:solidFill>
          <a:ln w="28575">
            <a:solidFill>
              <a:srgbClr val="5E82A3"/>
            </a:solidFill>
            <a:prstDash val="dash"/>
          </a:ln>
        </xdr:spPr>
        <xdr:style>
          <a:lnRef idx="1">
            <a:schemeClr val="accent1"/>
          </a:lnRef>
          <a:fillRef idx="0">
            <a:schemeClr val="accent1"/>
          </a:fillRef>
          <a:effectRef idx="0">
            <a:schemeClr val="accent1"/>
          </a:effectRef>
          <a:fontRef idx="minor">
            <a:schemeClr val="tx1"/>
          </a:fontRef>
        </xdr:style>
      </xdr:cxnSp>
      <xdr:sp macro="" textlink="">
        <xdr:nvSpPr>
          <xdr:cNvPr id="18" name="TextBox 17">
            <a:extLst>
              <a:ext uri="{FF2B5EF4-FFF2-40B4-BE49-F238E27FC236}">
                <a16:creationId xmlns:a16="http://schemas.microsoft.com/office/drawing/2014/main" id="{A08858B4-567E-44F8-9176-D217A457DF31}"/>
              </a:ext>
            </a:extLst>
          </xdr:cNvPr>
          <xdr:cNvSpPr txBox="1"/>
        </xdr:nvSpPr>
        <xdr:spPr>
          <a:xfrm>
            <a:off x="19160889" y="479107"/>
            <a:ext cx="1901795" cy="502920"/>
          </a:xfrm>
          <a:prstGeom prst="rect">
            <a:avLst/>
          </a:prstGeom>
          <a:solidFill>
            <a:schemeClr val="bg1"/>
          </a:solidFill>
          <a:ln w="9525" cmpd="sng">
            <a:solidFill>
              <a:srgbClr val="5E82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rgbClr val="5E82A3"/>
                </a:solidFill>
                <a:latin typeface="Arial" panose="020B0604020202020204" pitchFamily="34" charset="0"/>
                <a:cs typeface="Arial" panose="020B0604020202020204" pitchFamily="34" charset="0"/>
              </a:rPr>
              <a:t>$31.93</a:t>
            </a:r>
          </a:p>
          <a:p>
            <a:endParaRPr lang="en-US" sz="200" b="1">
              <a:solidFill>
                <a:srgbClr val="5E82A3"/>
              </a:solidFill>
              <a:latin typeface="Arial" panose="020B0604020202020204" pitchFamily="34" charset="0"/>
              <a:cs typeface="Arial" panose="020B0604020202020204" pitchFamily="34" charset="0"/>
            </a:endParaRPr>
          </a:p>
          <a:p>
            <a:r>
              <a:rPr lang="en-US" sz="800" b="1">
                <a:solidFill>
                  <a:srgbClr val="5E82A3"/>
                </a:solidFill>
                <a:latin typeface="Arial" panose="020B0604020202020204" pitchFamily="34" charset="0"/>
                <a:cs typeface="Arial" panose="020B0604020202020204" pitchFamily="34" charset="0"/>
              </a:rPr>
              <a:t>Lead Teacher, Infant-Toddler</a:t>
            </a:r>
            <a:endParaRPr lang="en-US" sz="800" b="1" baseline="0">
              <a:solidFill>
                <a:srgbClr val="5E82A3"/>
              </a:solidFill>
              <a:latin typeface="Arial" panose="020B0604020202020204" pitchFamily="34" charset="0"/>
              <a:cs typeface="Arial" panose="020B0604020202020204" pitchFamily="34" charset="0"/>
            </a:endParaRPr>
          </a:p>
          <a:p>
            <a:r>
              <a:rPr lang="en-US" sz="700" b="0" i="1" baseline="0">
                <a:solidFill>
                  <a:srgbClr val="5E82A3"/>
                </a:solidFill>
                <a:latin typeface="Arial" panose="020B0604020202020204" pitchFamily="34" charset="0"/>
                <a:cs typeface="Arial" panose="020B0604020202020204" pitchFamily="34" charset="0"/>
              </a:rPr>
              <a:t>Proposed Base Wage, Michigan</a:t>
            </a:r>
          </a:p>
        </xdr:txBody>
      </xdr:sp>
    </xdr:grpSp>
    <xdr:clientData/>
  </xdr:twoCellAnchor>
  <xdr:twoCellAnchor>
    <xdr:from>
      <xdr:col>23</xdr:col>
      <xdr:colOff>200025</xdr:colOff>
      <xdr:row>25</xdr:row>
      <xdr:rowOff>57150</xdr:rowOff>
    </xdr:from>
    <xdr:to>
      <xdr:col>28</xdr:col>
      <xdr:colOff>266700</xdr:colOff>
      <xdr:row>35</xdr:row>
      <xdr:rowOff>123825</xdr:rowOff>
    </xdr:to>
    <xdr:grpSp>
      <xdr:nvGrpSpPr>
        <xdr:cNvPr id="38" name="Group 37">
          <a:extLst>
            <a:ext uri="{FF2B5EF4-FFF2-40B4-BE49-F238E27FC236}">
              <a16:creationId xmlns:a16="http://schemas.microsoft.com/office/drawing/2014/main" id="{2FBB0F57-71F3-85C2-1B3F-7BB256B39E78}"/>
            </a:ext>
          </a:extLst>
        </xdr:cNvPr>
        <xdr:cNvGrpSpPr/>
      </xdr:nvGrpSpPr>
      <xdr:grpSpPr>
        <a:xfrm>
          <a:off x="16154400" y="5305425"/>
          <a:ext cx="2924175" cy="2000250"/>
          <a:chOff x="0" y="61912"/>
          <a:chExt cx="2286000" cy="2176463"/>
        </a:xfrm>
      </xdr:grpSpPr>
      <xdr:graphicFrame macro="">
        <xdr:nvGraphicFramePr>
          <xdr:cNvPr id="39" name="Chart 38">
            <a:extLst>
              <a:ext uri="{FF2B5EF4-FFF2-40B4-BE49-F238E27FC236}">
                <a16:creationId xmlns:a16="http://schemas.microsoft.com/office/drawing/2014/main" id="{22E48CDA-A4DE-C700-EF6C-3E7DFED46808}"/>
              </a:ext>
            </a:extLst>
          </xdr:cNvPr>
          <xdr:cNvGraphicFramePr/>
        </xdr:nvGraphicFramePr>
        <xdr:xfrm>
          <a:off x="0" y="61912"/>
          <a:ext cx="2286000" cy="2176463"/>
        </xdr:xfrm>
        <a:graphic>
          <a:graphicData uri="http://schemas.openxmlformats.org/drawingml/2006/chart">
            <c:chart xmlns:c="http://schemas.openxmlformats.org/drawingml/2006/chart" xmlns:r="http://schemas.openxmlformats.org/officeDocument/2006/relationships" r:id="rId4"/>
          </a:graphicData>
        </a:graphic>
      </xdr:graphicFrame>
      <xdr:sp macro="" textlink="">
        <xdr:nvSpPr>
          <xdr:cNvPr id="40" name="TextBox 19">
            <a:extLst>
              <a:ext uri="{FF2B5EF4-FFF2-40B4-BE49-F238E27FC236}">
                <a16:creationId xmlns:a16="http://schemas.microsoft.com/office/drawing/2014/main" id="{379E5ADD-EBB8-4FEB-90DC-1962F10A8FAD}"/>
              </a:ext>
            </a:extLst>
          </xdr:cNvPr>
          <xdr:cNvSpPr txBox="1"/>
        </xdr:nvSpPr>
        <xdr:spPr>
          <a:xfrm>
            <a:off x="123825" y="62172"/>
            <a:ext cx="2114550" cy="373062"/>
          </a:xfrm>
          <a:prstGeom prst="rect">
            <a:avLst/>
          </a:prstGeom>
          <a:solidFill>
            <a:schemeClr val="bg1"/>
          </a:solidFill>
        </xdr:spPr>
        <xdr:txBody>
          <a:bodyPr wrap="square" rtlCol="0">
            <a:noAutofit/>
          </a:bodyPr>
          <a:lstStyle/>
          <a:p>
            <a:pPr marL="0" marR="0" algn="ctr">
              <a:lnSpc>
                <a:spcPct val="107000"/>
              </a:lnSpc>
              <a:spcBef>
                <a:spcPts val="0"/>
              </a:spcBef>
              <a:spcAft>
                <a:spcPts val="0"/>
              </a:spcAft>
            </a:pPr>
            <a:r>
              <a:rPr lang="en-US" sz="1000" b="1"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Wage Growth, Michigan</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fontAlgn="base">
              <a:lnSpc>
                <a:spcPct val="107000"/>
              </a:lnSpc>
              <a:spcBef>
                <a:spcPts val="0"/>
              </a:spcBef>
              <a:spcAft>
                <a:spcPts val="800"/>
              </a:spcAft>
            </a:pPr>
            <a:r>
              <a:rPr lang="en-US" sz="900" kern="100">
                <a:solidFill>
                  <a:srgbClr val="595959"/>
                </a:solidFill>
                <a:effectLst/>
                <a:latin typeface="Arial" panose="020B0604020202020204" pitchFamily="34" charset="0"/>
                <a:ea typeface="Calibri" panose="020F0502020204030204" pitchFamily="34" charset="0"/>
                <a:cs typeface="Times New Roman" panose="02020603050405020304" pitchFamily="18" charset="0"/>
              </a:rPr>
              <a:t>2005-2022</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15</xdr:col>
      <xdr:colOff>228597</xdr:colOff>
      <xdr:row>12</xdr:row>
      <xdr:rowOff>33337</xdr:rowOff>
    </xdr:from>
    <xdr:to>
      <xdr:col>16</xdr:col>
      <xdr:colOff>504822</xdr:colOff>
      <xdr:row>14</xdr:row>
      <xdr:rowOff>86677</xdr:rowOff>
    </xdr:to>
    <xdr:sp macro="" textlink="">
      <xdr:nvSpPr>
        <xdr:cNvPr id="8" name="Text Box 2">
          <a:extLst>
            <a:ext uri="{FF2B5EF4-FFF2-40B4-BE49-F238E27FC236}">
              <a16:creationId xmlns:a16="http://schemas.microsoft.com/office/drawing/2014/main" id="{094B7105-2BA3-A951-2EED-15BDBEFFBF92}"/>
            </a:ext>
          </a:extLst>
        </xdr:cNvPr>
        <xdr:cNvSpPr txBox="1">
          <a:spLocks noChangeArrowheads="1"/>
        </xdr:cNvSpPr>
      </xdr:nvSpPr>
      <xdr:spPr bwMode="auto">
        <a:xfrm>
          <a:off x="11620497" y="277653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97%</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17</xdr:col>
      <xdr:colOff>390522</xdr:colOff>
      <xdr:row>12</xdr:row>
      <xdr:rowOff>61912</xdr:rowOff>
    </xdr:from>
    <xdr:to>
      <xdr:col>19</xdr:col>
      <xdr:colOff>161922</xdr:colOff>
      <xdr:row>14</xdr:row>
      <xdr:rowOff>115252</xdr:rowOff>
    </xdr:to>
    <xdr:sp macro="" textlink="">
      <xdr:nvSpPr>
        <xdr:cNvPr id="9" name="Text Box 2">
          <a:extLst>
            <a:ext uri="{FF2B5EF4-FFF2-40B4-BE49-F238E27FC236}">
              <a16:creationId xmlns:a16="http://schemas.microsoft.com/office/drawing/2014/main" id="{8EA0D94B-EFEB-0B3E-D734-566B382E0C2D}"/>
            </a:ext>
          </a:extLst>
        </xdr:cNvPr>
        <xdr:cNvSpPr txBox="1">
          <a:spLocks noChangeArrowheads="1"/>
        </xdr:cNvSpPr>
      </xdr:nvSpPr>
      <xdr:spPr bwMode="auto">
        <a:xfrm>
          <a:off x="12896847" y="280511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96%</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19</xdr:col>
      <xdr:colOff>542922</xdr:colOff>
      <xdr:row>12</xdr:row>
      <xdr:rowOff>42862</xdr:rowOff>
    </xdr:from>
    <xdr:to>
      <xdr:col>21</xdr:col>
      <xdr:colOff>238122</xdr:colOff>
      <xdr:row>14</xdr:row>
      <xdr:rowOff>96202</xdr:rowOff>
    </xdr:to>
    <xdr:sp macro="" textlink="">
      <xdr:nvSpPr>
        <xdr:cNvPr id="20" name="Text Box 2">
          <a:extLst>
            <a:ext uri="{FF2B5EF4-FFF2-40B4-BE49-F238E27FC236}">
              <a16:creationId xmlns:a16="http://schemas.microsoft.com/office/drawing/2014/main" id="{FDBC7B9F-025D-4453-374D-BA1798846BE5}"/>
            </a:ext>
          </a:extLst>
        </xdr:cNvPr>
        <xdr:cNvSpPr txBox="1">
          <a:spLocks noChangeArrowheads="1"/>
        </xdr:cNvSpPr>
      </xdr:nvSpPr>
      <xdr:spPr bwMode="auto">
        <a:xfrm>
          <a:off x="14163672" y="278606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93%</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22</xdr:col>
      <xdr:colOff>28572</xdr:colOff>
      <xdr:row>12</xdr:row>
      <xdr:rowOff>42862</xdr:rowOff>
    </xdr:from>
    <xdr:to>
      <xdr:col>23</xdr:col>
      <xdr:colOff>380997</xdr:colOff>
      <xdr:row>14</xdr:row>
      <xdr:rowOff>96202</xdr:rowOff>
    </xdr:to>
    <xdr:sp macro="" textlink="">
      <xdr:nvSpPr>
        <xdr:cNvPr id="21" name="Text Box 2">
          <a:extLst>
            <a:ext uri="{FF2B5EF4-FFF2-40B4-BE49-F238E27FC236}">
              <a16:creationId xmlns:a16="http://schemas.microsoft.com/office/drawing/2014/main" id="{590822CE-7BE9-FFF5-4427-EFE869FB0447}"/>
            </a:ext>
          </a:extLst>
        </xdr:cNvPr>
        <xdr:cNvSpPr txBox="1">
          <a:spLocks noChangeArrowheads="1"/>
        </xdr:cNvSpPr>
      </xdr:nvSpPr>
      <xdr:spPr bwMode="auto">
        <a:xfrm>
          <a:off x="15449547" y="2786062"/>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93%</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24</xdr:col>
      <xdr:colOff>238122</xdr:colOff>
      <xdr:row>12</xdr:row>
      <xdr:rowOff>33337</xdr:rowOff>
    </xdr:from>
    <xdr:to>
      <xdr:col>26</xdr:col>
      <xdr:colOff>19047</xdr:colOff>
      <xdr:row>14</xdr:row>
      <xdr:rowOff>86677</xdr:rowOff>
    </xdr:to>
    <xdr:sp macro="" textlink="">
      <xdr:nvSpPr>
        <xdr:cNvPr id="22" name="Text Box 2">
          <a:extLst>
            <a:ext uri="{FF2B5EF4-FFF2-40B4-BE49-F238E27FC236}">
              <a16:creationId xmlns:a16="http://schemas.microsoft.com/office/drawing/2014/main" id="{C33F2FBD-DAEC-5145-2DE2-A8C0134DA3F5}"/>
            </a:ext>
          </a:extLst>
        </xdr:cNvPr>
        <xdr:cNvSpPr txBox="1">
          <a:spLocks noChangeArrowheads="1"/>
        </xdr:cNvSpPr>
      </xdr:nvSpPr>
      <xdr:spPr bwMode="auto">
        <a:xfrm>
          <a:off x="16725897" y="2776537"/>
          <a:ext cx="885825" cy="434340"/>
        </a:xfrm>
        <a:prstGeom prst="rect">
          <a:avLst/>
        </a:prstGeom>
        <a:no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300"/>
            </a:spcAft>
          </a:pPr>
          <a:r>
            <a:rPr lang="en-US" sz="1000" b="1"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93%</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a:p>
          <a:pPr marL="0" marR="0" algn="ctr">
            <a:lnSpc>
              <a:spcPct val="107000"/>
            </a:lnSpc>
            <a:spcBef>
              <a:spcPts val="0"/>
            </a:spcBef>
            <a:spcAft>
              <a:spcPts val="800"/>
            </a:spcAft>
          </a:pPr>
          <a:r>
            <a:rPr lang="en-US" sz="900" kern="100">
              <a:solidFill>
                <a:srgbClr val="FFFFFF"/>
              </a:solidFill>
              <a:effectLst/>
              <a:latin typeface="Arial" panose="020B0604020202020204" pitchFamily="34" charset="0"/>
              <a:ea typeface="Calibri" panose="020F0502020204030204" pitchFamily="34" charset="0"/>
              <a:cs typeface="Times New Roman" panose="02020603050405020304" pitchFamily="18" charset="0"/>
            </a:rPr>
            <a:t>skills overlap</a:t>
          </a:r>
          <a:endParaRPr lang="en-US" sz="1100" kern="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3688CC3-B3DB-4C4C-993B-E8E6B8FF91D8}"/>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4</xdr:col>
      <xdr:colOff>76200</xdr:colOff>
      <xdr:row>2</xdr:row>
      <xdr:rowOff>142876</xdr:rowOff>
    </xdr:from>
    <xdr:to>
      <xdr:col>26</xdr:col>
      <xdr:colOff>75228</xdr:colOff>
      <xdr:row>30</xdr:row>
      <xdr:rowOff>146043</xdr:rowOff>
    </xdr:to>
    <xdr:grpSp>
      <xdr:nvGrpSpPr>
        <xdr:cNvPr id="4" name="Group 3">
          <a:extLst>
            <a:ext uri="{FF2B5EF4-FFF2-40B4-BE49-F238E27FC236}">
              <a16:creationId xmlns:a16="http://schemas.microsoft.com/office/drawing/2014/main" id="{24732DBE-DE56-4E33-B3E7-8656EE5A47DF}"/>
            </a:ext>
          </a:extLst>
        </xdr:cNvPr>
        <xdr:cNvGrpSpPr/>
      </xdr:nvGrpSpPr>
      <xdr:grpSpPr>
        <a:xfrm>
          <a:off x="5495925" y="619126"/>
          <a:ext cx="12038628" cy="5089517"/>
          <a:chOff x="3238500" y="11296650"/>
          <a:chExt cx="12086139" cy="5051366"/>
        </a:xfrm>
      </xdr:grpSpPr>
      <xdr:grpSp>
        <xdr:nvGrpSpPr>
          <xdr:cNvPr id="5" name="Group 4">
            <a:extLst>
              <a:ext uri="{FF2B5EF4-FFF2-40B4-BE49-F238E27FC236}">
                <a16:creationId xmlns:a16="http://schemas.microsoft.com/office/drawing/2014/main" id="{95DEA44C-A373-9433-E52E-851F96C94980}"/>
              </a:ext>
            </a:extLst>
          </xdr:cNvPr>
          <xdr:cNvGrpSpPr/>
        </xdr:nvGrpSpPr>
        <xdr:grpSpPr>
          <a:xfrm>
            <a:off x="3238500" y="11512884"/>
            <a:ext cx="12086139" cy="4835132"/>
            <a:chOff x="-13392" y="1389332"/>
            <a:chExt cx="11947656" cy="4835132"/>
          </a:xfrm>
        </xdr:grpSpPr>
        <xdr:graphicFrame macro="">
          <xdr:nvGraphicFramePr>
            <xdr:cNvPr id="10" name="Chart 9">
              <a:extLst>
                <a:ext uri="{FF2B5EF4-FFF2-40B4-BE49-F238E27FC236}">
                  <a16:creationId xmlns:a16="http://schemas.microsoft.com/office/drawing/2014/main" id="{00DC6F26-7057-8EA4-837B-D27B843B12B0}"/>
                </a:ext>
              </a:extLst>
            </xdr:cNvPr>
            <xdr:cNvGraphicFramePr>
              <a:graphicFrameLocks/>
            </xdr:cNvGraphicFramePr>
          </xdr:nvGraphicFramePr>
          <xdr:xfrm>
            <a:off x="-13392" y="1390650"/>
            <a:ext cx="6141720" cy="4833814"/>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9" name="Chart 8">
              <a:extLst>
                <a:ext uri="{FF2B5EF4-FFF2-40B4-BE49-F238E27FC236}">
                  <a16:creationId xmlns:a16="http://schemas.microsoft.com/office/drawing/2014/main" id="{ED1C850F-E399-0B5F-1393-283A31E00DBD}"/>
                </a:ext>
              </a:extLst>
            </xdr:cNvPr>
            <xdr:cNvGraphicFramePr>
              <a:graphicFrameLocks/>
            </xdr:cNvGraphicFramePr>
          </xdr:nvGraphicFramePr>
          <xdr:xfrm>
            <a:off x="5792544" y="1389332"/>
            <a:ext cx="6141720" cy="4835084"/>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11" name="Straight Connector 10">
              <a:extLst>
                <a:ext uri="{FF2B5EF4-FFF2-40B4-BE49-F238E27FC236}">
                  <a16:creationId xmlns:a16="http://schemas.microsoft.com/office/drawing/2014/main" id="{3849F2C2-1F6E-5B7A-57F0-EFD8422335A9}"/>
                </a:ext>
              </a:extLst>
            </xdr:cNvPr>
            <xdr:cNvCxnSpPr>
              <a:cxnSpLocks/>
            </xdr:cNvCxnSpPr>
          </xdr:nvCxnSpPr>
          <xdr:spPr>
            <a:xfrm>
              <a:off x="5970099" y="1473789"/>
              <a:ext cx="272" cy="4505201"/>
            </a:xfrm>
            <a:prstGeom prst="line">
              <a:avLst/>
            </a:prstGeom>
            <a:ln w="76200">
              <a:solidFill>
                <a:srgbClr val="60605B"/>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6" name="TextBox 10">
            <a:extLst>
              <a:ext uri="{FF2B5EF4-FFF2-40B4-BE49-F238E27FC236}">
                <a16:creationId xmlns:a16="http://schemas.microsoft.com/office/drawing/2014/main" id="{E117F807-5AC9-D311-E881-70A6AE22912A}"/>
              </a:ext>
            </a:extLst>
          </xdr:cNvPr>
          <xdr:cNvSpPr txBox="1"/>
        </xdr:nvSpPr>
        <xdr:spPr>
          <a:xfrm>
            <a:off x="5932298" y="11296650"/>
            <a:ext cx="250444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A2A569"/>
                </a:solidFill>
                <a:latin typeface="Arial" panose="020B0604020202020204" pitchFamily="34" charset="0"/>
                <a:cs typeface="Arial" panose="020B0604020202020204" pitchFamily="34" charset="0"/>
              </a:rPr>
              <a:t>Previous Occupation</a:t>
            </a:r>
          </a:p>
        </xdr:txBody>
      </xdr:sp>
      <xdr:sp macro="" textlink="">
        <xdr:nvSpPr>
          <xdr:cNvPr id="7" name="TextBox 11">
            <a:extLst>
              <a:ext uri="{FF2B5EF4-FFF2-40B4-BE49-F238E27FC236}">
                <a16:creationId xmlns:a16="http://schemas.microsoft.com/office/drawing/2014/main" id="{EF71C950-8FB5-83FA-E687-4049B512BB6E}"/>
              </a:ext>
            </a:extLst>
          </xdr:cNvPr>
          <xdr:cNvSpPr txBox="1"/>
        </xdr:nvSpPr>
        <xdr:spPr>
          <a:xfrm>
            <a:off x="10184575" y="11296650"/>
            <a:ext cx="2350770" cy="338554"/>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600" b="1">
                <a:solidFill>
                  <a:srgbClr val="D45D00"/>
                </a:solidFill>
                <a:latin typeface="Arial" panose="020B0604020202020204" pitchFamily="34" charset="0"/>
                <a:cs typeface="Arial" panose="020B0604020202020204" pitchFamily="34" charset="0"/>
              </a:rPr>
              <a:t>Following Occupation</a:t>
            </a:r>
          </a:p>
        </xdr:txBody>
      </xdr:sp>
      <xdr:sp macro="" textlink="">
        <xdr:nvSpPr>
          <xdr:cNvPr id="8" name="TextBox 12">
            <a:extLst>
              <a:ext uri="{FF2B5EF4-FFF2-40B4-BE49-F238E27FC236}">
                <a16:creationId xmlns:a16="http://schemas.microsoft.com/office/drawing/2014/main" id="{2D3A44AC-285C-D098-B6FF-EE3366960073}"/>
              </a:ext>
            </a:extLst>
          </xdr:cNvPr>
          <xdr:cNvSpPr txBox="1"/>
        </xdr:nvSpPr>
        <xdr:spPr>
          <a:xfrm>
            <a:off x="8369131" y="11298614"/>
            <a:ext cx="1901507" cy="309063"/>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600" b="1">
                <a:solidFill>
                  <a:srgbClr val="60605B"/>
                </a:solidFill>
                <a:latin typeface="Arial" panose="020B0604020202020204" pitchFamily="34" charset="0"/>
                <a:cs typeface="Arial" panose="020B0604020202020204" pitchFamily="34" charset="0"/>
              </a:rPr>
              <a:t>Lead Teacher</a:t>
            </a:r>
          </a:p>
        </xdr:txBody>
      </xdr:sp>
    </xdr:grpSp>
    <xdr:clientData/>
  </xdr:twoCellAnchor>
  <xdr:twoCellAnchor>
    <xdr:from>
      <xdr:col>4</xdr:col>
      <xdr:colOff>561974</xdr:colOff>
      <xdr:row>31</xdr:row>
      <xdr:rowOff>114300</xdr:rowOff>
    </xdr:from>
    <xdr:to>
      <xdr:col>25</xdr:col>
      <xdr:colOff>76199</xdr:colOff>
      <xdr:row>35</xdr:row>
      <xdr:rowOff>38100</xdr:rowOff>
    </xdr:to>
    <xdr:sp macro="" textlink="">
      <xdr:nvSpPr>
        <xdr:cNvPr id="3" name="TextBox 2">
          <a:extLst>
            <a:ext uri="{FF2B5EF4-FFF2-40B4-BE49-F238E27FC236}">
              <a16:creationId xmlns:a16="http://schemas.microsoft.com/office/drawing/2014/main" id="{20F099B5-EC60-4104-A7E9-1F868A97D9CB}"/>
            </a:ext>
          </a:extLst>
        </xdr:cNvPr>
        <xdr:cNvSpPr txBox="1"/>
      </xdr:nvSpPr>
      <xdr:spPr>
        <a:xfrm>
          <a:off x="5981699" y="5857875"/>
          <a:ext cx="11058525"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1">
              <a:solidFill>
                <a:schemeClr val="dk1"/>
              </a:solidFill>
              <a:effectLst/>
              <a:latin typeface="Arial" panose="020B0604020202020204" pitchFamily="34" charset="0"/>
              <a:ea typeface="+mn-ea"/>
              <a:cs typeface="Arial" panose="020B0604020202020204" pitchFamily="34" charset="0"/>
            </a:rPr>
            <a:t>Lightcast</a:t>
          </a:r>
        </a:p>
        <a:p>
          <a:r>
            <a:rPr lang="en-US" sz="1000" b="0" i="1">
              <a:solidFill>
                <a:schemeClr val="dk1"/>
              </a:solidFill>
              <a:effectLst/>
              <a:latin typeface="Arial" panose="020B0604020202020204" pitchFamily="34" charset="0"/>
              <a:ea typeface="+mn-ea"/>
              <a:cs typeface="Arial" panose="020B0604020202020204" pitchFamily="34" charset="0"/>
            </a:rPr>
            <a:t>This</a:t>
          </a:r>
          <a:r>
            <a:rPr lang="en-US" sz="1000" b="0" i="1" baseline="0">
              <a:solidFill>
                <a:schemeClr val="dk1"/>
              </a:solidFill>
              <a:effectLst/>
              <a:latin typeface="Arial" panose="020B0604020202020204" pitchFamily="34" charset="0"/>
              <a:ea typeface="+mn-ea"/>
              <a:cs typeface="Arial" panose="020B0604020202020204" pitchFamily="34" charset="0"/>
            </a:rPr>
            <a:t> information comes from online profiles, where the "previous occupation" is the most recent position detailed in an individual's online profile. As such, it may not portray an accurate representation of all previous and following roles for those employed within the occupation of interest, especially for roles that are not prevalent on profesional networking sites (e.g., LinkedIn). </a:t>
          </a:r>
          <a:endParaRPr lang="en-US" sz="1000" b="0" i="1">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xdr:colOff>
      <xdr:row>0</xdr:row>
      <xdr:rowOff>22224</xdr:rowOff>
    </xdr:from>
    <xdr:to>
      <xdr:col>0</xdr:col>
      <xdr:colOff>1767620</xdr:colOff>
      <xdr:row>0</xdr:row>
      <xdr:rowOff>265601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BDB1AD3-2528-43D1-8133-56F93A30815C}"/>
            </a:ext>
          </a:extLst>
        </xdr:cNvPr>
        <xdr:cNvSpPr/>
      </xdr:nvSpPr>
      <xdr:spPr>
        <a:xfrm>
          <a:off x="1" y="22224"/>
          <a:ext cx="1767619" cy="243377"/>
        </a:xfrm>
        <a:prstGeom prst="rect">
          <a:avLst/>
        </a:prstGeom>
        <a:scene3d>
          <a:camera prst="orthographicFront"/>
          <a:lightRig rig="threePt" dir="t"/>
        </a:scene3d>
        <a:sp3d>
          <a:bevel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b="1">
              <a:solidFill>
                <a:srgbClr val="003E51"/>
              </a:solidFill>
            </a:rPr>
            <a:t>Back</a:t>
          </a:r>
          <a:r>
            <a:rPr lang="en-US" sz="1200" b="1" baseline="0">
              <a:solidFill>
                <a:srgbClr val="003E51"/>
              </a:solidFill>
            </a:rPr>
            <a:t> to Main Menu</a:t>
          </a:r>
          <a:endParaRPr lang="en-US" sz="1200" b="1">
            <a:solidFill>
              <a:srgbClr val="003E51"/>
            </a:solidFill>
          </a:endParaRPr>
        </a:p>
      </xdr:txBody>
    </xdr:sp>
    <xdr:clientData/>
  </xdr:twoCellAnchor>
  <xdr:twoCellAnchor>
    <xdr:from>
      <xdr:col>23</xdr:col>
      <xdr:colOff>47625</xdr:colOff>
      <xdr:row>1</xdr:row>
      <xdr:rowOff>123824</xdr:rowOff>
    </xdr:from>
    <xdr:to>
      <xdr:col>34</xdr:col>
      <xdr:colOff>1466850</xdr:colOff>
      <xdr:row>22</xdr:row>
      <xdr:rowOff>190499</xdr:rowOff>
    </xdr:to>
    <xdr:graphicFrame macro="">
      <xdr:nvGraphicFramePr>
        <xdr:cNvPr id="4" name="Chart 3">
          <a:extLst>
            <a:ext uri="{FF2B5EF4-FFF2-40B4-BE49-F238E27FC236}">
              <a16:creationId xmlns:a16="http://schemas.microsoft.com/office/drawing/2014/main" id="{5F732258-F906-45BA-B215-4341414721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295275</xdr:colOff>
      <xdr:row>25</xdr:row>
      <xdr:rowOff>0</xdr:rowOff>
    </xdr:from>
    <xdr:to>
      <xdr:col>14</xdr:col>
      <xdr:colOff>238126</xdr:colOff>
      <xdr:row>28</xdr:row>
      <xdr:rowOff>104775</xdr:rowOff>
    </xdr:to>
    <xdr:sp macro="" textlink="">
      <xdr:nvSpPr>
        <xdr:cNvPr id="3" name="TextBox 2">
          <a:extLst>
            <a:ext uri="{FF2B5EF4-FFF2-40B4-BE49-F238E27FC236}">
              <a16:creationId xmlns:a16="http://schemas.microsoft.com/office/drawing/2014/main" id="{61D857B9-D312-4122-92D8-54022D22D561}"/>
            </a:ext>
          </a:extLst>
        </xdr:cNvPr>
        <xdr:cNvSpPr txBox="1"/>
      </xdr:nvSpPr>
      <xdr:spPr>
        <a:xfrm>
          <a:off x="2181225" y="4810125"/>
          <a:ext cx="8772526"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1">
              <a:solidFill>
                <a:schemeClr val="dk1"/>
              </a:solidFill>
              <a:effectLst/>
              <a:latin typeface="Arial" panose="020B0604020202020204" pitchFamily="34" charset="0"/>
              <a:ea typeface="+mn-ea"/>
              <a:cs typeface="Arial" panose="020B0604020202020204" pitchFamily="34" charset="0"/>
            </a:rPr>
            <a:t>Source: </a:t>
          </a:r>
          <a:r>
            <a:rPr lang="en-US" sz="1000" b="0" i="0">
              <a:solidFill>
                <a:schemeClr val="dk1"/>
              </a:solidFill>
              <a:effectLst/>
              <a:latin typeface="Arial" panose="020B0604020202020204" pitchFamily="34" charset="0"/>
              <a:ea typeface="+mn-ea"/>
              <a:cs typeface="Arial" panose="020B0604020202020204" pitchFamily="34" charset="0"/>
            </a:rPr>
            <a:t>Lighcast</a:t>
          </a:r>
        </a:p>
        <a:p>
          <a:r>
            <a:rPr lang="en-US" sz="1000" b="0" i="1">
              <a:latin typeface="Arial" panose="020B0604020202020204" pitchFamily="34" charset="0"/>
              <a:cs typeface="Arial" panose="020B0604020202020204" pitchFamily="34" charset="0"/>
            </a:rPr>
            <a:t>Employment data are based on final Lightcast industry data and final Emsi staffing patterns. Wage estimates are based on Occupational Employment Statistics (QCEW and Non-QCEW Employees classes of worker) and the American Community Survey (Self-Employed and Extended Proprietors).</a:t>
          </a:r>
        </a:p>
      </xdr:txBody>
    </xdr:sp>
    <xdr:clientData/>
  </xdr:twoCellAnchor>
  <xdr:twoCellAnchor>
    <xdr:from>
      <xdr:col>23</xdr:col>
      <xdr:colOff>15240</xdr:colOff>
      <xdr:row>23</xdr:row>
      <xdr:rowOff>53340</xdr:rowOff>
    </xdr:from>
    <xdr:to>
      <xdr:col>34</xdr:col>
      <xdr:colOff>1434465</xdr:colOff>
      <xdr:row>45</xdr:row>
      <xdr:rowOff>104775</xdr:rowOff>
    </xdr:to>
    <xdr:graphicFrame macro="">
      <xdr:nvGraphicFramePr>
        <xdr:cNvPr id="5" name="Chart 4">
          <a:extLst>
            <a:ext uri="{FF2B5EF4-FFF2-40B4-BE49-F238E27FC236}">
              <a16:creationId xmlns:a16="http://schemas.microsoft.com/office/drawing/2014/main" id="{54CB9FF2-30E6-4060-BA85-FCE4653F3A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0.13889</cdr:x>
      <cdr:y>0.00788</cdr:y>
    </cdr:from>
    <cdr:to>
      <cdr:x>0.84343</cdr:x>
      <cdr:y>0.07395</cdr:y>
    </cdr:to>
    <cdr:sp macro="" textlink="">
      <cdr:nvSpPr>
        <cdr:cNvPr id="2" name="TextBox 6">
          <a:extLst xmlns:a="http://schemas.openxmlformats.org/drawingml/2006/main">
            <a:ext uri="{FF2B5EF4-FFF2-40B4-BE49-F238E27FC236}">
              <a16:creationId xmlns:a16="http://schemas.microsoft.com/office/drawing/2014/main" id="{B59E5F8E-81DB-4A17-8F80-955B247DA376}"/>
            </a:ext>
          </a:extLst>
        </cdr:cNvPr>
        <cdr:cNvSpPr txBox="1"/>
      </cdr:nvSpPr>
      <cdr:spPr>
        <a:xfrm xmlns:a="http://schemas.openxmlformats.org/drawingml/2006/main">
          <a:off x="1079500" y="31750"/>
          <a:ext cx="5475979" cy="266186"/>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b="1" baseline="0">
              <a:solidFill>
                <a:schemeClr val="tx1">
                  <a:lumMod val="65000"/>
                  <a:lumOff val="35000"/>
                </a:schemeClr>
              </a:solidFill>
              <a:latin typeface="Arial" panose="020B0604020202020204" pitchFamily="34" charset="0"/>
              <a:cs typeface="Arial" panose="020B0604020202020204" pitchFamily="34" charset="0"/>
            </a:rPr>
            <a:t>Growth in Lead Teacher Employment, Indexed to 2001</a:t>
          </a:r>
          <a:endParaRPr lang="en-US" sz="10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20Study%20Overview_01.30.2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talent2025inc.sharepoint.com/sites/SharedDrive/Shared%20Documents/Working%20Groups/Talent%20Demand/Initiatives/ECIC%20Wage%20Study/Data/Statewide_Report%20Data.xlsx" TargetMode="External"/><Relationship Id="rId1" Type="http://schemas.openxmlformats.org/officeDocument/2006/relationships/externalLinkPath" Target="Statewide_Report%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st Michigan"/>
      <sheetName val="Wages"/>
      <sheetName val="Gain &amp; Drain"/>
      <sheetName val="Similar Jobs"/>
      <sheetName val="Sheet1"/>
      <sheetName val="Sheet2"/>
      <sheetName val="Sheet3"/>
    </sheetNames>
    <sheetDataSet>
      <sheetData sheetId="0"/>
      <sheetData sheetId="1"/>
      <sheetData sheetId="2">
        <row r="1">
          <cell r="C1" t="str">
            <v>Retail Salespersons</v>
          </cell>
        </row>
        <row r="2">
          <cell r="C2" t="str">
            <v>Social and Human Service Assistants</v>
          </cell>
        </row>
        <row r="3">
          <cell r="C3" t="str">
            <v>Waiters and Waitresses</v>
          </cell>
        </row>
        <row r="4">
          <cell r="C4" t="str">
            <v>Teaching Assistants</v>
          </cell>
        </row>
        <row r="5">
          <cell r="C5" t="str">
            <v>Recreation Workers</v>
          </cell>
        </row>
        <row r="6">
          <cell r="C6" t="str">
            <v>Secretaries and Admin. Assistants</v>
          </cell>
        </row>
        <row r="7">
          <cell r="C7" t="str">
            <v>Cashiers</v>
          </cell>
        </row>
        <row r="8">
          <cell r="C8" t="str">
            <v>Preschool Teachers</v>
          </cell>
        </row>
        <row r="9">
          <cell r="C9" t="str">
            <v>Managers</v>
          </cell>
        </row>
        <row r="10">
          <cell r="C10" t="str">
            <v>Preschool Teachers, Except Special Education</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d Start Teacher"/>
      <sheetName val="Early Head Start Teacher"/>
      <sheetName val="EHS Home Visitor"/>
      <sheetName val="Assistant Teacher"/>
      <sheetName val="Substitute Teacher"/>
      <sheetName val="Center Aide"/>
      <sheetName val="Food Aide"/>
      <sheetName val="Sheet1"/>
      <sheetName val="DFT Salary Schedule"/>
    </sheetNames>
    <sheetDataSet>
      <sheetData sheetId="0">
        <row r="4">
          <cell r="A4" t="str">
            <v>0-3 Years</v>
          </cell>
        </row>
      </sheetData>
      <sheetData sheetId="1">
        <row r="182">
          <cell r="C182" t="str">
            <v>Median Advertised Wage</v>
          </cell>
        </row>
        <row r="183">
          <cell r="A183">
            <v>44958</v>
          </cell>
        </row>
        <row r="184">
          <cell r="A184">
            <v>44927</v>
          </cell>
        </row>
        <row r="185">
          <cell r="A185">
            <v>44896</v>
          </cell>
        </row>
        <row r="186">
          <cell r="A186">
            <v>44866</v>
          </cell>
        </row>
        <row r="187">
          <cell r="A187">
            <v>44835</v>
          </cell>
        </row>
        <row r="188">
          <cell r="A188">
            <v>44805</v>
          </cell>
        </row>
        <row r="189">
          <cell r="A189">
            <v>44774</v>
          </cell>
        </row>
        <row r="190">
          <cell r="A190">
            <v>44743</v>
          </cell>
        </row>
        <row r="191">
          <cell r="A191">
            <v>44713</v>
          </cell>
        </row>
        <row r="192">
          <cell r="A192">
            <v>44682</v>
          </cell>
        </row>
        <row r="193">
          <cell r="A193">
            <v>44652</v>
          </cell>
        </row>
        <row r="194">
          <cell r="A194">
            <v>44621</v>
          </cell>
        </row>
        <row r="195">
          <cell r="A195">
            <v>44593</v>
          </cell>
        </row>
        <row r="196">
          <cell r="A196">
            <v>44562</v>
          </cell>
        </row>
        <row r="197">
          <cell r="A197">
            <v>44531</v>
          </cell>
        </row>
        <row r="198">
          <cell r="A198">
            <v>44501</v>
          </cell>
        </row>
        <row r="199">
          <cell r="A199">
            <v>44470</v>
          </cell>
        </row>
        <row r="200">
          <cell r="A200">
            <v>44440</v>
          </cell>
        </row>
        <row r="201">
          <cell r="A201">
            <v>44409</v>
          </cell>
        </row>
        <row r="202">
          <cell r="A202">
            <v>44378</v>
          </cell>
        </row>
        <row r="203">
          <cell r="A203">
            <v>44348</v>
          </cell>
        </row>
        <row r="204">
          <cell r="A204">
            <v>44317</v>
          </cell>
        </row>
        <row r="205">
          <cell r="A205">
            <v>44287</v>
          </cell>
        </row>
        <row r="206">
          <cell r="A206">
            <v>44256</v>
          </cell>
        </row>
        <row r="207">
          <cell r="A207">
            <v>44228</v>
          </cell>
        </row>
        <row r="208">
          <cell r="A208">
            <v>44197</v>
          </cell>
        </row>
        <row r="209">
          <cell r="A209">
            <v>44166</v>
          </cell>
        </row>
        <row r="210">
          <cell r="A210">
            <v>44136</v>
          </cell>
        </row>
        <row r="211">
          <cell r="A211">
            <v>44105</v>
          </cell>
        </row>
        <row r="212">
          <cell r="A212">
            <v>44075</v>
          </cell>
        </row>
        <row r="213">
          <cell r="A213">
            <v>44044</v>
          </cell>
        </row>
        <row r="214">
          <cell r="A214">
            <v>44013</v>
          </cell>
        </row>
        <row r="215">
          <cell r="A215">
            <v>43983</v>
          </cell>
        </row>
        <row r="216">
          <cell r="A216">
            <v>43952</v>
          </cell>
        </row>
        <row r="217">
          <cell r="A217">
            <v>43922</v>
          </cell>
        </row>
        <row r="218">
          <cell r="A218">
            <v>43891</v>
          </cell>
        </row>
        <row r="219">
          <cell r="A219">
            <v>43862</v>
          </cell>
        </row>
        <row r="220">
          <cell r="A220">
            <v>43831</v>
          </cell>
        </row>
        <row r="221">
          <cell r="A221">
            <v>43800</v>
          </cell>
        </row>
        <row r="222">
          <cell r="A222">
            <v>43770</v>
          </cell>
        </row>
        <row r="223">
          <cell r="A223">
            <v>43739</v>
          </cell>
        </row>
        <row r="224">
          <cell r="A224">
            <v>43709</v>
          </cell>
        </row>
        <row r="225">
          <cell r="A225">
            <v>43678</v>
          </cell>
        </row>
        <row r="226">
          <cell r="A226">
            <v>43647</v>
          </cell>
        </row>
        <row r="227">
          <cell r="A227">
            <v>43617</v>
          </cell>
        </row>
        <row r="228">
          <cell r="A228">
            <v>43586</v>
          </cell>
        </row>
        <row r="229">
          <cell r="A229">
            <v>43556</v>
          </cell>
        </row>
        <row r="230">
          <cell r="A230">
            <v>43525</v>
          </cell>
        </row>
        <row r="231">
          <cell r="A231">
            <v>43497</v>
          </cell>
        </row>
        <row r="232">
          <cell r="A232">
            <v>43466</v>
          </cell>
        </row>
        <row r="233">
          <cell r="A233">
            <v>43435</v>
          </cell>
        </row>
        <row r="234">
          <cell r="A234">
            <v>43405</v>
          </cell>
        </row>
        <row r="235">
          <cell r="A235">
            <v>43374</v>
          </cell>
        </row>
        <row r="236">
          <cell r="A236">
            <v>43344</v>
          </cell>
        </row>
        <row r="237">
          <cell r="A237">
            <v>43313</v>
          </cell>
        </row>
        <row r="238">
          <cell r="A238">
            <v>43282</v>
          </cell>
        </row>
        <row r="239">
          <cell r="A239">
            <v>43252</v>
          </cell>
        </row>
        <row r="240">
          <cell r="A240">
            <v>43221</v>
          </cell>
        </row>
        <row r="241">
          <cell r="A241">
            <v>43191</v>
          </cell>
        </row>
        <row r="242">
          <cell r="A242">
            <v>43160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livingwage.mit.edu/metros/19820" TargetMode="Externa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D2CD0-9194-4CC6-9137-E81441DA5467}">
  <sheetPr codeName="Sheet1">
    <tabColor rgb="FF003E51"/>
  </sheetPr>
  <dimension ref="A1:C42"/>
  <sheetViews>
    <sheetView tabSelected="1" topLeftCell="A35" workbookViewId="0">
      <selection activeCell="E47" sqref="E47"/>
    </sheetView>
  </sheetViews>
  <sheetFormatPr defaultColWidth="9.140625" defaultRowHeight="14.25" x14ac:dyDescent="0.2"/>
  <cols>
    <col min="1" max="1" width="14.140625" style="1" customWidth="1"/>
    <col min="2" max="2" width="11" style="1" customWidth="1"/>
    <col min="3" max="3" width="50.5703125" style="1" customWidth="1"/>
    <col min="4" max="16384" width="9.140625" style="1"/>
  </cols>
  <sheetData>
    <row r="1" spans="1:3" ht="20.25" x14ac:dyDescent="0.3">
      <c r="A1" s="229" t="s">
        <v>0</v>
      </c>
      <c r="B1" s="229"/>
      <c r="C1" s="229"/>
    </row>
    <row r="2" spans="1:3" x14ac:dyDescent="0.2">
      <c r="A2" s="230" t="s">
        <v>1</v>
      </c>
      <c r="B2" s="231"/>
      <c r="C2" s="231"/>
    </row>
    <row r="3" spans="1:3" x14ac:dyDescent="0.2">
      <c r="A3" s="230" t="s">
        <v>2</v>
      </c>
      <c r="B3" s="231"/>
      <c r="C3" s="231"/>
    </row>
    <row r="4" spans="1:3" x14ac:dyDescent="0.2">
      <c r="A4" s="8"/>
      <c r="B4" s="9"/>
      <c r="C4" s="9"/>
    </row>
    <row r="5" spans="1:3" x14ac:dyDescent="0.2">
      <c r="A5" s="232" t="s">
        <v>3</v>
      </c>
      <c r="B5" s="232"/>
      <c r="C5" s="232"/>
    </row>
    <row r="6" spans="1:3" x14ac:dyDescent="0.2">
      <c r="A6" s="233" t="s">
        <v>4</v>
      </c>
      <c r="B6" s="233"/>
      <c r="C6" s="233"/>
    </row>
    <row r="7" spans="1:3" x14ac:dyDescent="0.2">
      <c r="A7" s="233"/>
      <c r="B7" s="233"/>
      <c r="C7" s="233"/>
    </row>
    <row r="8" spans="1:3" x14ac:dyDescent="0.2">
      <c r="A8" s="234" t="s">
        <v>5</v>
      </c>
      <c r="B8" s="2" t="s">
        <v>6</v>
      </c>
      <c r="C8" s="3" t="s">
        <v>7</v>
      </c>
    </row>
    <row r="9" spans="1:3" x14ac:dyDescent="0.2">
      <c r="A9" s="234"/>
      <c r="B9" s="2" t="s">
        <v>8</v>
      </c>
      <c r="C9" s="3" t="s">
        <v>9</v>
      </c>
    </row>
    <row r="10" spans="1:3" x14ac:dyDescent="0.2">
      <c r="A10" s="4"/>
      <c r="B10" s="5"/>
      <c r="C10" s="4"/>
    </row>
    <row r="11" spans="1:3" ht="14.25" customHeight="1" x14ac:dyDescent="0.2">
      <c r="A11" s="225" t="s">
        <v>10</v>
      </c>
      <c r="B11" s="7" t="s">
        <v>6</v>
      </c>
      <c r="C11" s="6" t="s">
        <v>11</v>
      </c>
    </row>
    <row r="12" spans="1:3" x14ac:dyDescent="0.2">
      <c r="A12" s="225"/>
      <c r="B12" s="7" t="s">
        <v>8</v>
      </c>
      <c r="C12" s="6" t="s">
        <v>12</v>
      </c>
    </row>
    <row r="13" spans="1:3" x14ac:dyDescent="0.2">
      <c r="A13" s="225"/>
      <c r="B13" s="7" t="s">
        <v>13</v>
      </c>
      <c r="C13" s="6" t="s">
        <v>14</v>
      </c>
    </row>
    <row r="14" spans="1:3" x14ac:dyDescent="0.2">
      <c r="A14" s="225"/>
      <c r="B14" s="7" t="s">
        <v>15</v>
      </c>
      <c r="C14" s="6" t="s">
        <v>16</v>
      </c>
    </row>
    <row r="15" spans="1:3" x14ac:dyDescent="0.2">
      <c r="A15" s="225"/>
      <c r="B15" s="7" t="s">
        <v>17</v>
      </c>
      <c r="C15" s="6" t="s">
        <v>18</v>
      </c>
    </row>
    <row r="16" spans="1:3" x14ac:dyDescent="0.2">
      <c r="A16" s="225"/>
      <c r="B16" s="7" t="s">
        <v>19</v>
      </c>
      <c r="C16" s="6" t="s">
        <v>20</v>
      </c>
    </row>
    <row r="17" spans="1:3" x14ac:dyDescent="0.2">
      <c r="A17" s="30"/>
      <c r="B17" s="7" t="s">
        <v>21</v>
      </c>
      <c r="C17" s="6" t="s">
        <v>22</v>
      </c>
    </row>
    <row r="18" spans="1:3" x14ac:dyDescent="0.2">
      <c r="A18" s="4"/>
      <c r="B18" s="5"/>
      <c r="C18" s="4"/>
    </row>
    <row r="19" spans="1:3" x14ac:dyDescent="0.2">
      <c r="A19" s="226" t="s">
        <v>23</v>
      </c>
      <c r="B19" s="26" t="s">
        <v>6</v>
      </c>
      <c r="C19" s="6" t="s">
        <v>11</v>
      </c>
    </row>
    <row r="20" spans="1:3" x14ac:dyDescent="0.2">
      <c r="A20" s="226"/>
      <c r="B20" s="26" t="s">
        <v>8</v>
      </c>
      <c r="C20" s="6" t="s">
        <v>12</v>
      </c>
    </row>
    <row r="21" spans="1:3" x14ac:dyDescent="0.2">
      <c r="A21" s="226"/>
      <c r="B21" s="26" t="s">
        <v>13</v>
      </c>
      <c r="C21" s="6" t="s">
        <v>14</v>
      </c>
    </row>
    <row r="22" spans="1:3" x14ac:dyDescent="0.2">
      <c r="A22" s="226"/>
      <c r="B22" s="26" t="s">
        <v>15</v>
      </c>
      <c r="C22" s="6" t="s">
        <v>16</v>
      </c>
    </row>
    <row r="23" spans="1:3" x14ac:dyDescent="0.2">
      <c r="A23" s="226"/>
      <c r="B23" s="26" t="s">
        <v>17</v>
      </c>
      <c r="C23" s="6" t="s">
        <v>18</v>
      </c>
    </row>
    <row r="24" spans="1:3" x14ac:dyDescent="0.2">
      <c r="A24" s="226"/>
      <c r="B24" s="26" t="s">
        <v>19</v>
      </c>
      <c r="C24" s="6" t="s">
        <v>20</v>
      </c>
    </row>
    <row r="25" spans="1:3" x14ac:dyDescent="0.2">
      <c r="A25" s="31"/>
      <c r="B25" s="26" t="s">
        <v>21</v>
      </c>
      <c r="C25" s="6" t="s">
        <v>22</v>
      </c>
    </row>
    <row r="26" spans="1:3" x14ac:dyDescent="0.2">
      <c r="A26" s="4"/>
      <c r="B26" s="5"/>
      <c r="C26" s="4"/>
    </row>
    <row r="27" spans="1:3" x14ac:dyDescent="0.2">
      <c r="A27" s="227" t="s">
        <v>24</v>
      </c>
      <c r="B27" s="27" t="s">
        <v>6</v>
      </c>
      <c r="C27" s="6" t="s">
        <v>11</v>
      </c>
    </row>
    <row r="28" spans="1:3" x14ac:dyDescent="0.2">
      <c r="A28" s="227"/>
      <c r="B28" s="27" t="s">
        <v>8</v>
      </c>
      <c r="C28" s="6" t="s">
        <v>12</v>
      </c>
    </row>
    <row r="29" spans="1:3" x14ac:dyDescent="0.2">
      <c r="A29" s="227"/>
      <c r="B29" s="27" t="s">
        <v>13</v>
      </c>
      <c r="C29" s="6" t="s">
        <v>14</v>
      </c>
    </row>
    <row r="30" spans="1:3" x14ac:dyDescent="0.2">
      <c r="A30" s="227"/>
      <c r="B30" s="27" t="s">
        <v>15</v>
      </c>
      <c r="C30" s="6" t="s">
        <v>16</v>
      </c>
    </row>
    <row r="31" spans="1:3" ht="14.45" customHeight="1" x14ac:dyDescent="0.2">
      <c r="A31" s="227"/>
      <c r="B31" s="27" t="s">
        <v>17</v>
      </c>
      <c r="C31" s="6" t="s">
        <v>18</v>
      </c>
    </row>
    <row r="32" spans="1:3" x14ac:dyDescent="0.2">
      <c r="A32" s="227"/>
      <c r="B32" s="27" t="s">
        <v>19</v>
      </c>
      <c r="C32" s="6" t="s">
        <v>20</v>
      </c>
    </row>
    <row r="33" spans="1:3" x14ac:dyDescent="0.2">
      <c r="A33" s="32"/>
      <c r="B33" s="27" t="s">
        <v>21</v>
      </c>
      <c r="C33" s="6" t="s">
        <v>22</v>
      </c>
    </row>
    <row r="34" spans="1:3" x14ac:dyDescent="0.2">
      <c r="A34" s="4"/>
      <c r="B34" s="5"/>
      <c r="C34" s="4"/>
    </row>
    <row r="35" spans="1:3" x14ac:dyDescent="0.2">
      <c r="A35" s="228" t="s">
        <v>25</v>
      </c>
      <c r="B35" s="29" t="s">
        <v>6</v>
      </c>
      <c r="C35" s="6" t="s">
        <v>11</v>
      </c>
    </row>
    <row r="36" spans="1:3" x14ac:dyDescent="0.2">
      <c r="A36" s="228"/>
      <c r="B36" s="29" t="s">
        <v>8</v>
      </c>
      <c r="C36" s="6" t="s">
        <v>12</v>
      </c>
    </row>
    <row r="37" spans="1:3" x14ac:dyDescent="0.2">
      <c r="A37" s="228"/>
      <c r="B37" s="29" t="s">
        <v>13</v>
      </c>
      <c r="C37" s="6" t="s">
        <v>14</v>
      </c>
    </row>
    <row r="38" spans="1:3" x14ac:dyDescent="0.2">
      <c r="A38" s="228"/>
      <c r="B38" s="29" t="s">
        <v>15</v>
      </c>
      <c r="C38" s="6" t="s">
        <v>16</v>
      </c>
    </row>
    <row r="39" spans="1:3" x14ac:dyDescent="0.2">
      <c r="A39" s="228"/>
      <c r="B39" s="29" t="s">
        <v>17</v>
      </c>
      <c r="C39" s="6" t="s">
        <v>18</v>
      </c>
    </row>
    <row r="40" spans="1:3" x14ac:dyDescent="0.2">
      <c r="A40" s="228"/>
      <c r="B40" s="29" t="s">
        <v>19</v>
      </c>
      <c r="C40" s="6" t="s">
        <v>20</v>
      </c>
    </row>
    <row r="41" spans="1:3" x14ac:dyDescent="0.2">
      <c r="A41" s="33"/>
      <c r="B41" s="29" t="s">
        <v>21</v>
      </c>
      <c r="C41" s="6" t="s">
        <v>22</v>
      </c>
    </row>
    <row r="42" spans="1:3" x14ac:dyDescent="0.2">
      <c r="A42" s="4"/>
      <c r="B42" s="5"/>
      <c r="C42" s="4"/>
    </row>
  </sheetData>
  <mergeCells count="10">
    <mergeCell ref="A11:A16"/>
    <mergeCell ref="A19:A24"/>
    <mergeCell ref="A27:A32"/>
    <mergeCell ref="A35:A40"/>
    <mergeCell ref="A1:C1"/>
    <mergeCell ref="A2:C2"/>
    <mergeCell ref="A5:C5"/>
    <mergeCell ref="A6:C7"/>
    <mergeCell ref="A8:A9"/>
    <mergeCell ref="A3:C3"/>
  </mergeCells>
  <hyperlinks>
    <hyperlink ref="C11" location="'2A'!A1" display="Wage Scaling" xr:uid="{F74314F0-F1FC-4A01-8FC2-3CE1A8D8960E}"/>
    <hyperlink ref="C8" location="'1A'!A1" display="Systemwide Wage Scale" xr:uid="{2AD09FEE-F66C-4EE5-ABE7-3ED6F2D25DE7}"/>
    <hyperlink ref="C9" location="'1B'!A1" display="Notes" xr:uid="{26D2205B-F25E-4093-AC52-53B8A20B7135}"/>
    <hyperlink ref="C12" location="'2B'!A1" display="Top Comparable Roles" xr:uid="{2E804663-8E23-4B02-A131-52C285AC845D}"/>
    <hyperlink ref="C13" location="'2C'!A1" display="Employment Trends" xr:uid="{44262D82-F23D-414C-98C7-72A000773963}"/>
    <hyperlink ref="C14" location="'2D'!A1" display="Workforce Demographics" xr:uid="{EDD30473-5885-4538-BE4A-973E5AB07339}"/>
    <hyperlink ref="C15" location="'2E'!A1" display="Occupation Flows" xr:uid="{2308DA97-B32D-4051-A9E8-4B9505F37C85}"/>
    <hyperlink ref="C16" location="'2F'!A1" display="Real-time Demand" xr:uid="{CC4FF028-3D64-4CF4-8BAB-DF846ED1D74B}"/>
    <hyperlink ref="C19" location="'3A'!A1" display="Wage Scaling" xr:uid="{9F63EC74-0EAA-4CB9-9FF5-69FA0F482B13}"/>
    <hyperlink ref="C20" location="'3B'!A1" display="Workforce Demographics" xr:uid="{DDCD1FCA-44E8-4E49-A71A-C6EE295A6BD5}"/>
    <hyperlink ref="C21" location="'3C'!A1" display="Top Comparable Occupations" xr:uid="{89FDD945-8745-4D4C-9A69-1DB6C0A58A62}"/>
    <hyperlink ref="C22" location="'3D'!A1" display="Employment and Wage Trends" xr:uid="{8AE6A950-9F6A-4E43-9C1C-0896BDB78B27}"/>
    <hyperlink ref="C23" location="'3E'!A1" display="Occupation Flows" xr:uid="{C2002805-EEBD-4173-8537-FA4972529345}"/>
    <hyperlink ref="C24" location="'3F'!A1" display="Real-time Demand" xr:uid="{CD31D8EB-E662-4FCA-BBAF-70FEA529317C}"/>
    <hyperlink ref="C27" location="'4A'!A1" display="Wage Scaling" xr:uid="{B629E69F-46F9-47F6-923A-BB2A910E7A39}"/>
    <hyperlink ref="C28" location="'4B'!A1" display="Workforce Demographics" xr:uid="{DC9F307D-C39C-4F24-862D-13047A1D7DD4}"/>
    <hyperlink ref="C29" location="'4C'!A1" display="Top Comparable Occupations" xr:uid="{5BDF8B94-CDCA-4532-B207-7FDE7B63F64F}"/>
    <hyperlink ref="C30" location="'4D'!A1" display="Employment and Wage Trends" xr:uid="{B5F8840C-4973-418B-82A4-5D65FDDE6132}"/>
    <hyperlink ref="C31" location="'4E'!A1" display="Occupation Flows" xr:uid="{8C976CE0-927B-4E96-93A9-0D475658F872}"/>
    <hyperlink ref="C32" location="'4F'!A1" display="Real-time Demand" xr:uid="{2F83D742-CBCF-4FE0-815F-6C8C3180AF7A}"/>
    <hyperlink ref="C35" location="'5A'!A1" display="Wage Scaling" xr:uid="{31C292C7-390B-4EAB-B74A-A08998F1DE3C}"/>
    <hyperlink ref="C36" location="'5B'!A1" display="Workforce Demographics" xr:uid="{08EED0D2-C2F8-45B3-BAEF-983782BFF7E0}"/>
    <hyperlink ref="C37" location="'5C'!A1" display="Top Comparable Occupations" xr:uid="{F50B7F02-8F6B-4313-8548-EB80B3453E5A}"/>
    <hyperlink ref="C38" location="'5D'!A1" display="Employment and Wage Trends" xr:uid="{4EDA1E9B-1C06-44CD-8580-3127BE477407}"/>
    <hyperlink ref="C39" location="'5E'!A1" display="Occupation Flows" xr:uid="{5F200512-E1C1-4DA3-942E-EF478C7822E2}"/>
    <hyperlink ref="C40" location="'5F'!A1" display="Real-time Demand" xr:uid="{B838E65E-95B3-43D8-B5B4-B50A7DB0ADFB}"/>
    <hyperlink ref="C17" location="'2G'!A1" display="Commuting Patterns" xr:uid="{AF8E61F3-1ED0-4C17-B235-CA400A948662}"/>
    <hyperlink ref="C25" location="'3G'!A1" display="Commuting Patterns" xr:uid="{10E8FB41-42A2-4FF6-B365-B2CE7E08285E}"/>
    <hyperlink ref="C33" location="'4G'!A1" display="Commuting Patterns" xr:uid="{BB373F56-AFDB-4926-80BF-D422C864BB3E}"/>
    <hyperlink ref="C41" location="'5G'!A1" display="Commuting Patterns" xr:uid="{1D3EF56A-9972-4625-BE8D-6F5BE3570BD1}"/>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84AFB-8F52-4BD3-A9B6-9BEEBBD8E2C8}">
  <sheetPr>
    <tabColor rgb="FFA2AE74"/>
  </sheetPr>
  <dimension ref="A1:AG83"/>
  <sheetViews>
    <sheetView zoomScaleNormal="100" workbookViewId="0">
      <selection activeCell="A2" sqref="A2"/>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9.140625" style="39" bestFit="1"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425781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260</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25" ht="15" x14ac:dyDescent="0.25">
      <c r="A3" s="320" t="s">
        <v>261</v>
      </c>
      <c r="B3" s="320"/>
      <c r="C3" s="320"/>
      <c r="D3" s="320"/>
      <c r="E3" s="194"/>
    </row>
    <row r="4" spans="1:25" x14ac:dyDescent="0.2">
      <c r="A4" s="192" t="s">
        <v>262</v>
      </c>
      <c r="B4" s="207" t="s">
        <v>159</v>
      </c>
      <c r="C4" s="37" t="s">
        <v>263</v>
      </c>
      <c r="D4" s="37" t="s">
        <v>264</v>
      </c>
      <c r="E4" s="1"/>
      <c r="M4" s="1"/>
    </row>
    <row r="5" spans="1:25" x14ac:dyDescent="0.2">
      <c r="A5" s="196" t="s">
        <v>265</v>
      </c>
      <c r="B5" s="159">
        <v>4184.0564663799996</v>
      </c>
      <c r="C5" s="195">
        <v>3537.4172849699999</v>
      </c>
      <c r="D5" s="195">
        <v>646.63918140199996</v>
      </c>
      <c r="E5" s="1"/>
      <c r="M5" s="1"/>
    </row>
    <row r="6" spans="1:25" x14ac:dyDescent="0.2">
      <c r="A6" s="196" t="s">
        <v>266</v>
      </c>
      <c r="B6" s="159">
        <v>3155.4342961900002</v>
      </c>
      <c r="C6" s="195">
        <v>2634.3537857800002</v>
      </c>
      <c r="D6" s="195">
        <v>521.08051041299996</v>
      </c>
      <c r="E6" s="1"/>
      <c r="M6" s="197"/>
    </row>
    <row r="7" spans="1:25" x14ac:dyDescent="0.2">
      <c r="A7" s="196" t="s">
        <v>267</v>
      </c>
      <c r="B7" s="159">
        <v>1629.3610312000001</v>
      </c>
      <c r="C7" s="195">
        <v>1180.43195595</v>
      </c>
      <c r="D7" s="195">
        <v>448.92907524999998</v>
      </c>
      <c r="E7" s="1"/>
      <c r="M7" s="197"/>
    </row>
    <row r="8" spans="1:25" x14ac:dyDescent="0.2">
      <c r="A8" s="196" t="s">
        <v>268</v>
      </c>
      <c r="B8" s="159">
        <v>3680.0230045399999</v>
      </c>
      <c r="C8" s="195">
        <v>3516.19624239</v>
      </c>
      <c r="D8" s="195">
        <v>163.826762151</v>
      </c>
      <c r="E8" s="1"/>
      <c r="M8" s="197"/>
    </row>
    <row r="9" spans="1:25" x14ac:dyDescent="0.2">
      <c r="A9" s="196" t="s">
        <v>269</v>
      </c>
      <c r="B9" s="159">
        <v>986.15859908200002</v>
      </c>
      <c r="C9" s="195">
        <v>836.193419081</v>
      </c>
      <c r="D9" s="195">
        <v>149.96518000099999</v>
      </c>
      <c r="E9" s="1"/>
      <c r="M9" s="197"/>
    </row>
    <row r="10" spans="1:25" x14ac:dyDescent="0.2">
      <c r="A10" s="196" t="s">
        <v>270</v>
      </c>
      <c r="B10" s="159">
        <v>173.93368000300001</v>
      </c>
      <c r="C10" s="195">
        <v>141.398770539</v>
      </c>
      <c r="D10" s="195">
        <v>32.534909463699996</v>
      </c>
      <c r="E10" s="1"/>
      <c r="M10" s="197"/>
    </row>
    <row r="11" spans="1:25" x14ac:dyDescent="0.2">
      <c r="A11" s="196" t="s">
        <v>271</v>
      </c>
      <c r="B11" s="159">
        <v>138.47479167200001</v>
      </c>
      <c r="C11" s="195">
        <v>108.046555524</v>
      </c>
      <c r="D11" s="195">
        <v>30.4282361474</v>
      </c>
      <c r="E11" s="1"/>
      <c r="M11" s="197"/>
    </row>
    <row r="12" spans="1:25" x14ac:dyDescent="0.2">
      <c r="A12" s="196" t="s">
        <v>272</v>
      </c>
      <c r="B12" s="159">
        <v>92.199858618099995</v>
      </c>
      <c r="C12" s="195">
        <v>72.201197417299994</v>
      </c>
      <c r="D12" s="195">
        <v>19.998661200699999</v>
      </c>
      <c r="E12" s="1"/>
      <c r="M12" s="197"/>
    </row>
    <row r="13" spans="1:25" x14ac:dyDescent="0.2">
      <c r="A13" s="196" t="s">
        <v>273</v>
      </c>
      <c r="B13" s="159">
        <v>48.312118396599999</v>
      </c>
      <c r="C13" s="195">
        <v>29.1255736769</v>
      </c>
      <c r="D13" s="195">
        <v>19.186544719800001</v>
      </c>
      <c r="E13" s="1"/>
      <c r="M13" s="197"/>
    </row>
    <row r="14" spans="1:25" x14ac:dyDescent="0.2">
      <c r="A14" s="196" t="s">
        <v>274</v>
      </c>
      <c r="B14" s="159">
        <v>65.548763811399994</v>
      </c>
      <c r="C14" s="195">
        <v>46.496953087999998</v>
      </c>
      <c r="D14" s="195">
        <v>19.051810723399999</v>
      </c>
      <c r="E14" s="1"/>
      <c r="M14" s="197"/>
    </row>
    <row r="15" spans="1:25" x14ac:dyDescent="0.2">
      <c r="A15" s="196" t="s">
        <v>275</v>
      </c>
      <c r="B15" s="159">
        <v>449.601245054</v>
      </c>
      <c r="C15" s="195">
        <v>431.60158719700001</v>
      </c>
      <c r="D15" s="195">
        <v>17.999657857199999</v>
      </c>
      <c r="E15" s="1"/>
      <c r="M15" s="197"/>
    </row>
    <row r="16" spans="1:25" x14ac:dyDescent="0.2">
      <c r="A16" s="196" t="s">
        <v>276</v>
      </c>
      <c r="B16" s="159">
        <v>318.69080346599998</v>
      </c>
      <c r="C16" s="195">
        <v>305.517405553</v>
      </c>
      <c r="D16" s="195">
        <v>13.173397913300001</v>
      </c>
      <c r="E16" s="1"/>
      <c r="M16" s="197"/>
    </row>
    <row r="17" spans="1:13" x14ac:dyDescent="0.2">
      <c r="A17" s="196" t="s">
        <v>277</v>
      </c>
      <c r="B17" s="159">
        <v>110.761191251</v>
      </c>
      <c r="C17" s="195">
        <v>98.571213948700006</v>
      </c>
      <c r="D17" s="195">
        <v>12.189977301900001</v>
      </c>
      <c r="E17" s="1"/>
      <c r="M17" s="197"/>
    </row>
    <row r="18" spans="1:13" x14ac:dyDescent="0.2">
      <c r="A18" s="196" t="s">
        <v>278</v>
      </c>
      <c r="B18" s="159">
        <v>184.66518550500001</v>
      </c>
      <c r="C18" s="195">
        <v>172.742691837</v>
      </c>
      <c r="D18" s="195">
        <v>11.9224936683</v>
      </c>
      <c r="E18" s="1"/>
      <c r="G18" s="39"/>
      <c r="M18" s="197"/>
    </row>
    <row r="19" spans="1:13" x14ac:dyDescent="0.2">
      <c r="A19" s="196" t="s">
        <v>279</v>
      </c>
      <c r="B19" s="159">
        <v>106.270767084</v>
      </c>
      <c r="C19" s="195">
        <v>102.25935663200001</v>
      </c>
      <c r="D19" s="195">
        <v>4.0114104522199998</v>
      </c>
      <c r="E19" s="1"/>
      <c r="G19" s="39"/>
      <c r="M19" s="197"/>
    </row>
    <row r="20" spans="1:13" x14ac:dyDescent="0.2">
      <c r="A20" s="196" t="s">
        <v>280</v>
      </c>
      <c r="B20" s="159">
        <v>59.561939733499997</v>
      </c>
      <c r="C20" s="195">
        <v>55.961910084199999</v>
      </c>
      <c r="D20" s="195">
        <v>3.6000296492900001</v>
      </c>
      <c r="E20" s="1"/>
      <c r="G20" s="39"/>
      <c r="M20" s="197"/>
    </row>
    <row r="21" spans="1:13" x14ac:dyDescent="0.2">
      <c r="A21" s="196" t="s">
        <v>281</v>
      </c>
      <c r="B21" s="159">
        <v>28.8155129678</v>
      </c>
      <c r="C21" s="195">
        <v>28.0452337826</v>
      </c>
      <c r="D21" s="195">
        <v>0.77027918519000005</v>
      </c>
      <c r="E21" s="1"/>
      <c r="M21" s="197"/>
    </row>
    <row r="22" spans="1:13" x14ac:dyDescent="0.2">
      <c r="A22" s="196" t="s">
        <v>282</v>
      </c>
      <c r="B22" s="159">
        <v>142.729127455</v>
      </c>
      <c r="C22" s="195">
        <v>143.03366990399999</v>
      </c>
      <c r="D22" s="195">
        <v>-0.30454244995300001</v>
      </c>
      <c r="E22" s="1"/>
      <c r="M22" s="197"/>
    </row>
    <row r="23" spans="1:13" x14ac:dyDescent="0.2">
      <c r="A23" s="196" t="s">
        <v>283</v>
      </c>
      <c r="B23" s="159">
        <v>28.489348698000001</v>
      </c>
      <c r="C23" s="195">
        <v>29.2582972535</v>
      </c>
      <c r="D23" s="195">
        <v>-0.76894855550399999</v>
      </c>
      <c r="E23" s="1"/>
      <c r="M23" s="197"/>
    </row>
    <row r="24" spans="1:13" x14ac:dyDescent="0.2">
      <c r="A24" s="196" t="s">
        <v>284</v>
      </c>
      <c r="B24" s="159">
        <v>366.47294926500001</v>
      </c>
      <c r="C24" s="195">
        <v>367.50124870500002</v>
      </c>
      <c r="D24" s="195">
        <v>-1.02829943981</v>
      </c>
      <c r="E24" s="1"/>
      <c r="M24" s="197"/>
    </row>
    <row r="25" spans="1:13" x14ac:dyDescent="0.2">
      <c r="A25" s="196" t="s">
        <v>285</v>
      </c>
      <c r="B25" s="159">
        <v>21.207958056700001</v>
      </c>
      <c r="C25" s="195">
        <v>22.387840564699999</v>
      </c>
      <c r="D25" s="195">
        <v>-1.1798825080299999</v>
      </c>
      <c r="E25" s="1"/>
      <c r="M25" s="1"/>
    </row>
    <row r="26" spans="1:13" x14ac:dyDescent="0.2">
      <c r="A26" s="196" t="s">
        <v>286</v>
      </c>
      <c r="B26" s="159">
        <v>83.768651812300007</v>
      </c>
      <c r="C26" s="195">
        <v>85.263077697499995</v>
      </c>
      <c r="D26" s="195">
        <v>-1.4944258852200001</v>
      </c>
      <c r="E26" s="1"/>
      <c r="M26" s="1"/>
    </row>
    <row r="27" spans="1:13" x14ac:dyDescent="0.2">
      <c r="A27" s="196" t="s">
        <v>287</v>
      </c>
      <c r="B27" s="159">
        <v>104.473595515</v>
      </c>
      <c r="C27" s="195">
        <v>107.22232308</v>
      </c>
      <c r="D27" s="195">
        <v>-2.7487275654899999</v>
      </c>
      <c r="E27" s="1"/>
      <c r="M27" s="1"/>
    </row>
    <row r="28" spans="1:13" x14ac:dyDescent="0.2">
      <c r="A28" s="196" t="s">
        <v>288</v>
      </c>
      <c r="B28" s="159">
        <v>20.095394880600001</v>
      </c>
      <c r="C28" s="195">
        <v>23.2884249154</v>
      </c>
      <c r="D28" s="195">
        <v>-3.19303003472</v>
      </c>
      <c r="E28" s="1"/>
      <c r="M28" s="1"/>
    </row>
    <row r="29" spans="1:13" x14ac:dyDescent="0.2">
      <c r="A29" s="196" t="s">
        <v>289</v>
      </c>
      <c r="B29" s="159">
        <v>33.513647677900003</v>
      </c>
      <c r="C29" s="195">
        <v>36.761136837999999</v>
      </c>
      <c r="D29" s="195">
        <v>-3.2474891601600002</v>
      </c>
      <c r="E29" s="1"/>
      <c r="M29" s="1"/>
    </row>
    <row r="30" spans="1:13" x14ac:dyDescent="0.2">
      <c r="A30" s="196" t="s">
        <v>290</v>
      </c>
      <c r="B30" s="159">
        <v>24.8598958561</v>
      </c>
      <c r="C30" s="195">
        <v>28.2664984217</v>
      </c>
      <c r="D30" s="195">
        <v>-3.4066025656500001</v>
      </c>
      <c r="E30" s="1"/>
      <c r="M30" s="1"/>
    </row>
    <row r="31" spans="1:13" x14ac:dyDescent="0.2">
      <c r="A31" s="196" t="s">
        <v>291</v>
      </c>
      <c r="B31" s="159">
        <v>20.136256707099999</v>
      </c>
      <c r="C31" s="195">
        <v>23.6107299924</v>
      </c>
      <c r="D31" s="195">
        <v>-3.4744732853200002</v>
      </c>
      <c r="E31" s="1"/>
      <c r="M31" s="1"/>
    </row>
    <row r="32" spans="1:13" x14ac:dyDescent="0.2">
      <c r="A32" s="196" t="s">
        <v>292</v>
      </c>
      <c r="B32" s="159">
        <v>216.09645992599999</v>
      </c>
      <c r="C32" s="195">
        <v>219.951888588</v>
      </c>
      <c r="D32" s="195">
        <v>-3.8554286629000001</v>
      </c>
      <c r="E32" s="1"/>
      <c r="M32" s="1"/>
    </row>
    <row r="33" spans="1:13" x14ac:dyDescent="0.2">
      <c r="A33" s="196" t="s">
        <v>293</v>
      </c>
      <c r="B33" s="159">
        <v>21.328612998400001</v>
      </c>
      <c r="C33" s="195">
        <v>25.444972559299998</v>
      </c>
      <c r="D33" s="195">
        <v>-4.1163595609400003</v>
      </c>
      <c r="E33" s="1"/>
      <c r="M33" s="1"/>
    </row>
    <row r="34" spans="1:13" x14ac:dyDescent="0.2">
      <c r="A34" s="196" t="s">
        <v>294</v>
      </c>
      <c r="B34" s="159">
        <v>75.418467969700004</v>
      </c>
      <c r="C34" s="195">
        <v>80.298181211699998</v>
      </c>
      <c r="D34" s="195">
        <v>-4.8797132420100002</v>
      </c>
      <c r="E34" s="1"/>
      <c r="M34" s="1"/>
    </row>
    <row r="35" spans="1:13" x14ac:dyDescent="0.2">
      <c r="A35" s="196" t="s">
        <v>295</v>
      </c>
      <c r="B35" s="159">
        <v>213.38510517</v>
      </c>
      <c r="C35" s="195">
        <v>218.83120386900001</v>
      </c>
      <c r="D35" s="195">
        <v>-5.4460986991300002</v>
      </c>
      <c r="E35" s="1"/>
      <c r="M35" s="1"/>
    </row>
    <row r="36" spans="1:13" x14ac:dyDescent="0.2">
      <c r="A36" s="196" t="s">
        <v>296</v>
      </c>
      <c r="B36" s="159">
        <v>70.967671061700003</v>
      </c>
      <c r="C36" s="195">
        <v>76.863860948999999</v>
      </c>
      <c r="D36" s="195">
        <v>-5.8961898873500003</v>
      </c>
      <c r="E36" s="1"/>
      <c r="M36" s="1"/>
    </row>
    <row r="37" spans="1:13" x14ac:dyDescent="0.2">
      <c r="A37" s="196" t="s">
        <v>297</v>
      </c>
      <c r="B37" s="159">
        <v>47.2262027803</v>
      </c>
      <c r="C37" s="195">
        <v>53.404539747699999</v>
      </c>
      <c r="D37" s="195">
        <v>-6.1783369674799999</v>
      </c>
      <c r="E37" s="1"/>
      <c r="M37" s="1"/>
    </row>
    <row r="38" spans="1:13" x14ac:dyDescent="0.2">
      <c r="A38" s="196" t="s">
        <v>298</v>
      </c>
      <c r="B38" s="159">
        <v>255.778090198</v>
      </c>
      <c r="C38" s="195">
        <v>261.969765446</v>
      </c>
      <c r="D38" s="195">
        <v>-6.1916752479000001</v>
      </c>
      <c r="E38" s="1"/>
      <c r="M38" s="1"/>
    </row>
    <row r="39" spans="1:13" x14ac:dyDescent="0.2">
      <c r="A39" s="196" t="s">
        <v>299</v>
      </c>
      <c r="B39" s="159">
        <v>127.132340251</v>
      </c>
      <c r="C39" s="195">
        <v>133.98359525000001</v>
      </c>
      <c r="D39" s="195">
        <v>-6.85125499878</v>
      </c>
      <c r="E39" s="1"/>
      <c r="M39" s="1"/>
    </row>
    <row r="40" spans="1:13" x14ac:dyDescent="0.2">
      <c r="A40" s="196" t="s">
        <v>300</v>
      </c>
      <c r="B40" s="159">
        <v>20.885245899000001</v>
      </c>
      <c r="C40" s="195">
        <v>27.888715535300001</v>
      </c>
      <c r="D40" s="195">
        <v>-7.0034696362700002</v>
      </c>
      <c r="E40" s="1"/>
      <c r="M40" s="1"/>
    </row>
    <row r="41" spans="1:13" x14ac:dyDescent="0.2">
      <c r="A41" s="196" t="s">
        <v>301</v>
      </c>
      <c r="B41" s="159">
        <v>107.529574021</v>
      </c>
      <c r="C41" s="195">
        <v>114.641589948</v>
      </c>
      <c r="D41" s="195">
        <v>-7.1120159269399998</v>
      </c>
      <c r="E41" s="1"/>
      <c r="M41" s="1"/>
    </row>
    <row r="42" spans="1:13" x14ac:dyDescent="0.2">
      <c r="A42" s="196" t="s">
        <v>302</v>
      </c>
      <c r="B42" s="159">
        <v>17.7542008014</v>
      </c>
      <c r="C42" s="195">
        <v>25.197342779300001</v>
      </c>
      <c r="D42" s="195">
        <v>-7.4431419779499999</v>
      </c>
      <c r="E42" s="1"/>
      <c r="M42" s="1"/>
    </row>
    <row r="43" spans="1:13" x14ac:dyDescent="0.2">
      <c r="A43" s="196" t="s">
        <v>303</v>
      </c>
      <c r="B43" s="159">
        <v>223.003960363</v>
      </c>
      <c r="C43" s="195">
        <v>230.63586813399999</v>
      </c>
      <c r="D43" s="195">
        <v>-7.6319077713599999</v>
      </c>
      <c r="E43" s="1"/>
      <c r="M43" s="1"/>
    </row>
    <row r="44" spans="1:13" x14ac:dyDescent="0.2">
      <c r="A44" s="196" t="s">
        <v>304</v>
      </c>
      <c r="B44" s="159">
        <v>47.388418734699997</v>
      </c>
      <c r="C44" s="195">
        <v>55.53001545</v>
      </c>
      <c r="D44" s="195">
        <v>-8.1415967152800004</v>
      </c>
      <c r="E44" s="1"/>
      <c r="M44" s="1"/>
    </row>
    <row r="45" spans="1:13" x14ac:dyDescent="0.2">
      <c r="A45" s="196" t="s">
        <v>305</v>
      </c>
      <c r="B45" s="159">
        <v>105.18021599399999</v>
      </c>
      <c r="C45" s="195">
        <v>113.3648488</v>
      </c>
      <c r="D45" s="195">
        <v>-8.1846328055700006</v>
      </c>
      <c r="E45" s="1"/>
      <c r="M45" s="1"/>
    </row>
    <row r="46" spans="1:13" x14ac:dyDescent="0.2">
      <c r="A46" s="196" t="s">
        <v>306</v>
      </c>
      <c r="B46" s="159">
        <v>539.71896370399998</v>
      </c>
      <c r="C46" s="195">
        <v>548.15380590500001</v>
      </c>
      <c r="D46" s="195">
        <v>-8.4348422006899995</v>
      </c>
      <c r="E46" s="1"/>
      <c r="M46" s="1"/>
    </row>
    <row r="47" spans="1:13" x14ac:dyDescent="0.2">
      <c r="A47" s="196" t="s">
        <v>307</v>
      </c>
      <c r="B47" s="159">
        <v>239.33044935500001</v>
      </c>
      <c r="C47" s="195">
        <v>247.76758634800001</v>
      </c>
      <c r="D47" s="195">
        <v>-8.4371369933799993</v>
      </c>
      <c r="E47" s="1"/>
      <c r="M47" s="1"/>
    </row>
    <row r="48" spans="1:13" x14ac:dyDescent="0.2">
      <c r="A48" s="196" t="s">
        <v>308</v>
      </c>
      <c r="B48" s="159">
        <v>28.742524611499999</v>
      </c>
      <c r="C48" s="195">
        <v>38.922090640299999</v>
      </c>
      <c r="D48" s="195">
        <v>-10.1795660288</v>
      </c>
      <c r="E48" s="1"/>
      <c r="M48" s="1"/>
    </row>
    <row r="49" spans="1:13" x14ac:dyDescent="0.2">
      <c r="A49" s="196" t="s">
        <v>309</v>
      </c>
      <c r="B49" s="159">
        <v>221.18144963200001</v>
      </c>
      <c r="C49" s="195">
        <v>232.15428173000001</v>
      </c>
      <c r="D49" s="195">
        <v>-10.9728320986</v>
      </c>
      <c r="E49" s="1"/>
      <c r="M49" s="1"/>
    </row>
    <row r="50" spans="1:13" x14ac:dyDescent="0.2">
      <c r="A50" s="196" t="s">
        <v>310</v>
      </c>
      <c r="B50" s="159">
        <v>46.749881773699997</v>
      </c>
      <c r="C50" s="195">
        <v>59.976499522799998</v>
      </c>
      <c r="D50" s="195">
        <v>-13.226617749000001</v>
      </c>
      <c r="E50" s="1"/>
      <c r="M50" s="1"/>
    </row>
    <row r="51" spans="1:13" x14ac:dyDescent="0.2">
      <c r="A51" s="196" t="s">
        <v>311</v>
      </c>
      <c r="B51" s="159">
        <v>87.064783436400006</v>
      </c>
      <c r="C51" s="195">
        <v>100.516034198</v>
      </c>
      <c r="D51" s="195">
        <v>-13.451250762100001</v>
      </c>
      <c r="E51" s="1"/>
      <c r="M51" s="1"/>
    </row>
    <row r="52" spans="1:13" x14ac:dyDescent="0.2">
      <c r="A52" s="196" t="s">
        <v>312</v>
      </c>
      <c r="B52" s="159">
        <v>816.11218300999997</v>
      </c>
      <c r="C52" s="195">
        <v>833.014711874</v>
      </c>
      <c r="D52" s="195">
        <v>-16.902528863699999</v>
      </c>
      <c r="E52" s="1"/>
      <c r="M52" s="1"/>
    </row>
    <row r="53" spans="1:13" x14ac:dyDescent="0.2">
      <c r="A53" s="196" t="s">
        <v>313</v>
      </c>
      <c r="B53" s="159">
        <v>47.8971434491</v>
      </c>
      <c r="C53" s="195">
        <v>65.905080260000005</v>
      </c>
      <c r="D53" s="195">
        <v>-18.007936811</v>
      </c>
      <c r="E53" s="1"/>
      <c r="M53" s="1"/>
    </row>
    <row r="54" spans="1:13" x14ac:dyDescent="0.2">
      <c r="A54" s="196" t="s">
        <v>314</v>
      </c>
      <c r="B54" s="159">
        <v>34.144673812299999</v>
      </c>
      <c r="C54" s="195">
        <v>52.393092180899998</v>
      </c>
      <c r="D54" s="195">
        <v>-18.248418368599999</v>
      </c>
      <c r="E54" s="161"/>
      <c r="M54" s="1"/>
    </row>
    <row r="55" spans="1:13" x14ac:dyDescent="0.2">
      <c r="A55" s="196" t="s">
        <v>315</v>
      </c>
      <c r="B55" s="159">
        <v>23.726445529199999</v>
      </c>
      <c r="C55" s="195">
        <v>43.223324060400003</v>
      </c>
      <c r="D55" s="195">
        <v>-19.4968785312</v>
      </c>
      <c r="E55" s="1"/>
      <c r="M55" s="1"/>
    </row>
    <row r="56" spans="1:13" x14ac:dyDescent="0.2">
      <c r="A56" s="196" t="s">
        <v>316</v>
      </c>
      <c r="B56" s="159">
        <v>453.185073639</v>
      </c>
      <c r="C56" s="195">
        <v>473.32906259600003</v>
      </c>
      <c r="D56" s="195">
        <v>-20.143988957600001</v>
      </c>
      <c r="E56" s="1"/>
      <c r="M56" s="1"/>
    </row>
    <row r="57" spans="1:13" x14ac:dyDescent="0.2">
      <c r="A57" s="196" t="s">
        <v>317</v>
      </c>
      <c r="B57" s="159">
        <v>114.93432476300001</v>
      </c>
      <c r="C57" s="195">
        <v>135.245062596</v>
      </c>
      <c r="D57" s="195">
        <v>-20.310737833699999</v>
      </c>
      <c r="E57" s="1"/>
      <c r="M57" s="1"/>
    </row>
    <row r="58" spans="1:13" x14ac:dyDescent="0.2">
      <c r="A58" s="196" t="s">
        <v>318</v>
      </c>
      <c r="B58" s="159">
        <v>185.857015491</v>
      </c>
      <c r="C58" s="195">
        <v>206.25650504500001</v>
      </c>
      <c r="D58" s="195">
        <v>-20.399489554100001</v>
      </c>
      <c r="E58" s="1"/>
      <c r="M58" s="1"/>
    </row>
    <row r="59" spans="1:13" x14ac:dyDescent="0.2">
      <c r="A59" s="196" t="s">
        <v>319</v>
      </c>
      <c r="B59" s="159">
        <v>59.119044446399997</v>
      </c>
      <c r="C59" s="195">
        <v>79.850355104100004</v>
      </c>
      <c r="D59" s="195">
        <v>-20.7313106577</v>
      </c>
      <c r="E59" s="1"/>
      <c r="M59" s="1"/>
    </row>
    <row r="60" spans="1:13" x14ac:dyDescent="0.2">
      <c r="A60" s="196" t="s">
        <v>320</v>
      </c>
      <c r="B60" s="159">
        <v>108.989422815</v>
      </c>
      <c r="C60" s="195">
        <v>131.14742845500001</v>
      </c>
      <c r="D60" s="195">
        <v>-22.158005640900001</v>
      </c>
      <c r="E60" s="1"/>
      <c r="M60" s="1"/>
    </row>
    <row r="61" spans="1:13" x14ac:dyDescent="0.2">
      <c r="A61" s="196" t="s">
        <v>321</v>
      </c>
      <c r="B61" s="159">
        <v>304.59338729500001</v>
      </c>
      <c r="C61" s="195">
        <v>327.06499803299999</v>
      </c>
      <c r="D61" s="195">
        <v>-22.471610737100001</v>
      </c>
      <c r="E61" s="1"/>
      <c r="M61" s="1"/>
    </row>
    <row r="62" spans="1:13" x14ac:dyDescent="0.2">
      <c r="A62" s="196" t="s">
        <v>322</v>
      </c>
      <c r="B62" s="159">
        <v>10.2181781309</v>
      </c>
      <c r="C62" s="195">
        <v>32.931489794900003</v>
      </c>
      <c r="D62" s="195">
        <v>-22.713311663999999</v>
      </c>
      <c r="E62" s="1"/>
      <c r="M62" s="1"/>
    </row>
    <row r="63" spans="1:13" x14ac:dyDescent="0.2">
      <c r="A63" s="196" t="s">
        <v>323</v>
      </c>
      <c r="B63" s="159">
        <v>53.987446312099998</v>
      </c>
      <c r="C63" s="195">
        <v>79.512790200699996</v>
      </c>
      <c r="D63" s="195">
        <v>-25.525343888599998</v>
      </c>
      <c r="E63" s="1"/>
      <c r="M63" s="1"/>
    </row>
    <row r="64" spans="1:13" x14ac:dyDescent="0.2">
      <c r="A64" s="164" t="s">
        <v>324</v>
      </c>
      <c r="B64" s="159">
        <v>78.595331439099994</v>
      </c>
      <c r="C64" s="159">
        <v>109.646802337</v>
      </c>
      <c r="D64" s="159">
        <v>-31.051470897800002</v>
      </c>
      <c r="M64" s="1"/>
    </row>
    <row r="65" spans="1:13" x14ac:dyDescent="0.2">
      <c r="A65" s="164" t="s">
        <v>325</v>
      </c>
      <c r="B65" s="159">
        <v>100.965475891</v>
      </c>
      <c r="C65" s="159">
        <v>132.162575049</v>
      </c>
      <c r="D65" s="159">
        <v>-31.197099157899999</v>
      </c>
      <c r="M65" s="1"/>
    </row>
    <row r="66" spans="1:13" x14ac:dyDescent="0.2">
      <c r="A66" s="164" t="s">
        <v>326</v>
      </c>
      <c r="B66" s="159">
        <v>290.78279604900001</v>
      </c>
      <c r="C66" s="159">
        <v>326.28714503899999</v>
      </c>
      <c r="D66" s="159">
        <v>-35.504348989999997</v>
      </c>
      <c r="M66" s="1"/>
    </row>
    <row r="67" spans="1:13" x14ac:dyDescent="0.2">
      <c r="A67" s="164" t="s">
        <v>327</v>
      </c>
      <c r="B67" s="159">
        <v>186.78230781299999</v>
      </c>
      <c r="C67" s="159">
        <v>225.29375501499999</v>
      </c>
      <c r="D67" s="159">
        <v>-38.511447202600003</v>
      </c>
      <c r="M67" s="1"/>
    </row>
    <row r="68" spans="1:13" x14ac:dyDescent="0.2">
      <c r="A68" s="164" t="s">
        <v>328</v>
      </c>
      <c r="B68" s="159">
        <v>467.74491891899999</v>
      </c>
      <c r="C68" s="159">
        <v>506.58710770599998</v>
      </c>
      <c r="D68" s="159">
        <v>-38.842188786400001</v>
      </c>
      <c r="M68" s="1"/>
    </row>
    <row r="69" spans="1:13" x14ac:dyDescent="0.2">
      <c r="A69" s="164" t="s">
        <v>329</v>
      </c>
      <c r="B69" s="159">
        <v>261.74783382700002</v>
      </c>
      <c r="C69" s="159">
        <v>304.99642674299997</v>
      </c>
      <c r="D69" s="159">
        <v>-43.248592916100002</v>
      </c>
      <c r="M69" s="1"/>
    </row>
    <row r="70" spans="1:13" x14ac:dyDescent="0.2">
      <c r="A70" s="164" t="s">
        <v>330</v>
      </c>
      <c r="B70" s="159">
        <v>506.858345945</v>
      </c>
      <c r="C70" s="159">
        <v>552.63316428600001</v>
      </c>
      <c r="D70" s="159">
        <v>-45.774818341299998</v>
      </c>
      <c r="M70" s="1"/>
    </row>
    <row r="71" spans="1:13" x14ac:dyDescent="0.2">
      <c r="A71" s="164" t="s">
        <v>331</v>
      </c>
      <c r="B71" s="159">
        <v>183.176570785</v>
      </c>
      <c r="C71" s="159">
        <v>236.51325139599999</v>
      </c>
      <c r="D71" s="159">
        <v>-53.336680611699997</v>
      </c>
      <c r="M71" s="1"/>
    </row>
    <row r="72" spans="1:13" x14ac:dyDescent="0.2">
      <c r="A72" s="164" t="s">
        <v>332</v>
      </c>
      <c r="B72" s="159">
        <v>570.53435044499997</v>
      </c>
      <c r="C72" s="159">
        <v>631.73917122299997</v>
      </c>
      <c r="D72" s="159">
        <v>-61.204820777499997</v>
      </c>
      <c r="M72" s="1"/>
    </row>
    <row r="73" spans="1:13" x14ac:dyDescent="0.2">
      <c r="A73" s="164" t="s">
        <v>333</v>
      </c>
      <c r="B73" s="159">
        <v>501.483900941</v>
      </c>
      <c r="C73" s="159">
        <v>562.92317466199995</v>
      </c>
      <c r="D73" s="159">
        <v>-61.439273721200003</v>
      </c>
      <c r="M73" s="1"/>
    </row>
    <row r="74" spans="1:13" x14ac:dyDescent="0.2">
      <c r="A74" s="164" t="s">
        <v>334</v>
      </c>
      <c r="B74" s="159">
        <v>156.49840384300001</v>
      </c>
      <c r="C74" s="159">
        <v>225.64561913599999</v>
      </c>
      <c r="D74" s="159">
        <v>-69.147215293599999</v>
      </c>
      <c r="M74" s="1"/>
    </row>
    <row r="75" spans="1:13" x14ac:dyDescent="0.2">
      <c r="A75" s="164" t="s">
        <v>335</v>
      </c>
      <c r="B75" s="159">
        <v>344.03512293300003</v>
      </c>
      <c r="C75" s="159">
        <v>414.43733911999999</v>
      </c>
      <c r="D75" s="159">
        <v>-70.402216187299999</v>
      </c>
      <c r="M75" s="1"/>
    </row>
    <row r="76" spans="1:13" x14ac:dyDescent="0.2">
      <c r="A76" s="164" t="s">
        <v>336</v>
      </c>
      <c r="B76" s="159">
        <v>523.84479000800002</v>
      </c>
      <c r="C76" s="159">
        <v>595.81109597199998</v>
      </c>
      <c r="D76" s="159">
        <v>-71.966305963600007</v>
      </c>
      <c r="M76" s="1"/>
    </row>
    <row r="77" spans="1:13" x14ac:dyDescent="0.2">
      <c r="A77" s="164" t="s">
        <v>337</v>
      </c>
      <c r="B77" s="159">
        <v>201.54508716500001</v>
      </c>
      <c r="C77" s="159">
        <v>282.84123439199999</v>
      </c>
      <c r="D77" s="159">
        <v>-81.296147227500001</v>
      </c>
    </row>
    <row r="78" spans="1:13" x14ac:dyDescent="0.2">
      <c r="A78" s="164" t="s">
        <v>338</v>
      </c>
      <c r="B78" s="159">
        <v>343.27301003100001</v>
      </c>
      <c r="C78" s="159">
        <v>438.74433576500002</v>
      </c>
      <c r="D78" s="159">
        <v>-95.471325734000004</v>
      </c>
    </row>
    <row r="79" spans="1:13" x14ac:dyDescent="0.2">
      <c r="A79" s="164" t="s">
        <v>339</v>
      </c>
      <c r="B79" s="159">
        <v>490.68329200300002</v>
      </c>
      <c r="C79" s="159">
        <v>586.57281832900003</v>
      </c>
      <c r="D79" s="159">
        <v>-95.889526325700004</v>
      </c>
    </row>
    <row r="80" spans="1:13" x14ac:dyDescent="0.2">
      <c r="A80" s="164" t="s">
        <v>340</v>
      </c>
      <c r="B80" s="159">
        <v>1027.4193851800001</v>
      </c>
      <c r="C80" s="159">
        <v>1229.23575181</v>
      </c>
      <c r="D80" s="159">
        <v>-201.81636662400001</v>
      </c>
    </row>
    <row r="81" spans="1:4" x14ac:dyDescent="0.2">
      <c r="A81" s="164" t="s">
        <v>341</v>
      </c>
      <c r="B81" s="159">
        <v>309.28349445700002</v>
      </c>
      <c r="C81" s="159">
        <v>568.57375609200005</v>
      </c>
      <c r="D81" s="159">
        <v>-259.29026163499998</v>
      </c>
    </row>
    <row r="82" spans="1:4" x14ac:dyDescent="0.2">
      <c r="A82" s="164" t="s">
        <v>342</v>
      </c>
      <c r="B82" s="159">
        <v>1106.1022834800001</v>
      </c>
      <c r="C82" s="159">
        <v>1409.44721764</v>
      </c>
      <c r="D82" s="159">
        <v>-303.344934163</v>
      </c>
    </row>
    <row r="83" spans="1:4" x14ac:dyDescent="0.2">
      <c r="A83" s="164" t="s">
        <v>343</v>
      </c>
      <c r="B83" s="159">
        <v>2036.9401205900001</v>
      </c>
      <c r="C83" s="159">
        <v>2431.3043323500001</v>
      </c>
      <c r="D83" s="159">
        <v>-394.36421175999999</v>
      </c>
    </row>
  </sheetData>
  <mergeCells count="2">
    <mergeCell ref="A1:Y1"/>
    <mergeCell ref="A3:D3"/>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1423-8952-44E5-82CD-56362761E7B7}">
  <sheetPr>
    <tabColor rgb="FF609191"/>
  </sheetPr>
  <dimension ref="A1:AA50"/>
  <sheetViews>
    <sheetView zoomScaleNormal="100" workbookViewId="0">
      <selection activeCell="C8" sqref="C8"/>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0.5703125" style="1" customWidth="1"/>
    <col min="6" max="8" width="8.42578125" style="1" bestFit="1" customWidth="1"/>
    <col min="9" max="9" width="9.5703125" style="1" bestFit="1" customWidth="1"/>
    <col min="10" max="10" width="13.42578125" style="1" customWidth="1"/>
    <col min="11" max="11" width="9.28515625" style="1" customWidth="1"/>
    <col min="12" max="12" width="13.7109375" style="1" customWidth="1"/>
    <col min="13" max="13" width="9.42578125" style="1" bestFit="1" customWidth="1"/>
    <col min="14" max="14" width="9.85546875" style="1" customWidth="1"/>
    <col min="15" max="15" width="8.710937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344</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29</v>
      </c>
      <c r="B3" s="330" t="s">
        <v>30</v>
      </c>
      <c r="C3" s="261"/>
      <c r="D3" s="297" t="s">
        <v>31</v>
      </c>
      <c r="E3" s="298"/>
      <c r="F3" s="216" t="s">
        <v>33</v>
      </c>
      <c r="G3" s="215" t="s">
        <v>33</v>
      </c>
      <c r="H3" s="215" t="s">
        <v>33</v>
      </c>
      <c r="I3" s="303" t="s">
        <v>33</v>
      </c>
      <c r="J3" s="303"/>
      <c r="K3" s="303" t="s">
        <v>34</v>
      </c>
      <c r="L3" s="303"/>
      <c r="M3" s="215" t="s">
        <v>35</v>
      </c>
      <c r="N3" s="215" t="s">
        <v>35</v>
      </c>
      <c r="O3" s="217" t="s">
        <v>35</v>
      </c>
      <c r="P3" s="1"/>
      <c r="Q3" s="40"/>
      <c r="V3" s="273" t="s">
        <v>54</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40"/>
      <c r="U4" s="1" t="s">
        <v>130</v>
      </c>
      <c r="V4" s="44" t="s">
        <v>131</v>
      </c>
      <c r="W4" s="44" t="s">
        <v>48</v>
      </c>
      <c r="X4" s="44" t="s">
        <v>50</v>
      </c>
      <c r="Y4" s="44" t="s">
        <v>132</v>
      </c>
      <c r="Z4" s="44" t="s">
        <v>133</v>
      </c>
      <c r="AA4" s="44" t="s">
        <v>134</v>
      </c>
    </row>
    <row r="5" spans="1:27" ht="26.25" customHeight="1" thickBot="1" x14ac:dyDescent="0.25">
      <c r="A5" s="329"/>
      <c r="B5" s="302"/>
      <c r="C5" s="324"/>
      <c r="D5" s="291"/>
      <c r="E5" s="293"/>
      <c r="F5" s="311"/>
      <c r="G5" s="309"/>
      <c r="H5" s="309"/>
      <c r="I5" s="45" t="s">
        <v>48</v>
      </c>
      <c r="J5" s="45" t="s">
        <v>49</v>
      </c>
      <c r="K5" s="45" t="s">
        <v>50</v>
      </c>
      <c r="L5" s="45" t="s">
        <v>51</v>
      </c>
      <c r="M5" s="313"/>
      <c r="N5" s="313"/>
      <c r="O5" s="326"/>
      <c r="P5" s="1"/>
      <c r="Q5" s="40"/>
      <c r="U5" s="1">
        <v>0</v>
      </c>
      <c r="V5" s="46">
        <f>H6</f>
        <v>20.40778663899275</v>
      </c>
      <c r="W5" s="46">
        <f>I6</f>
        <v>23.945133928571433</v>
      </c>
      <c r="X5" s="46">
        <f>K6</f>
        <v>26.339647321428579</v>
      </c>
      <c r="Y5" s="46">
        <f>M6</f>
        <v>28.97361205357144</v>
      </c>
      <c r="Z5" s="46">
        <f>N6</f>
        <v>31.870973258928586</v>
      </c>
      <c r="AA5" s="46">
        <f>O6</f>
        <v>35.058070584821451</v>
      </c>
    </row>
    <row r="6" spans="1:27" x14ac:dyDescent="0.2">
      <c r="A6" s="111" t="s">
        <v>54</v>
      </c>
      <c r="B6" s="112">
        <v>14.09</v>
      </c>
      <c r="C6" s="113">
        <f>B6*2080</f>
        <v>29307.200000000001</v>
      </c>
      <c r="D6" s="59">
        <v>23.945133928571433</v>
      </c>
      <c r="E6" s="114">
        <v>49805.878571428584</v>
      </c>
      <c r="F6" s="59">
        <v>20.40778663899275</v>
      </c>
      <c r="G6" s="59">
        <v>20.40778663899275</v>
      </c>
      <c r="H6" s="59">
        <v>20.40778663899275</v>
      </c>
      <c r="I6" s="60">
        <v>23.945133928571433</v>
      </c>
      <c r="J6" s="116">
        <v>25.142390625000004</v>
      </c>
      <c r="K6" s="60">
        <v>26.339647321428579</v>
      </c>
      <c r="L6" s="60">
        <f>K6*1.05</f>
        <v>27.656629687500008</v>
      </c>
      <c r="M6" s="60">
        <v>28.97361205357144</v>
      </c>
      <c r="N6" s="60">
        <v>31.870973258928586</v>
      </c>
      <c r="O6" s="162">
        <v>35.058070584821451</v>
      </c>
      <c r="P6" s="1"/>
      <c r="U6" s="1">
        <v>1</v>
      </c>
      <c r="V6" s="46">
        <f t="shared" ref="V6:V25" si="0">V5*1.025</f>
        <v>20.917981304967569</v>
      </c>
      <c r="W6" s="46">
        <f t="shared" ref="W6:W25" si="1">W5*1.025</f>
        <v>24.543762276785717</v>
      </c>
      <c r="X6" s="46">
        <f t="shared" ref="X6:X25" si="2">X5*1.025</f>
        <v>26.99813850446429</v>
      </c>
      <c r="Y6" s="46">
        <f t="shared" ref="Y6:Y25" si="3">Y5*1.025</f>
        <v>29.697952354910722</v>
      </c>
      <c r="Z6" s="46">
        <f t="shared" ref="Z6:Z25" si="4">Z5*1.025</f>
        <v>32.667747590401795</v>
      </c>
      <c r="AA6" s="46">
        <f t="shared" ref="AA6:AA25" si="5">AA5*1.025</f>
        <v>35.934522349441984</v>
      </c>
    </row>
    <row r="7" spans="1:27" x14ac:dyDescent="0.2">
      <c r="A7" s="286" t="s">
        <v>135</v>
      </c>
      <c r="B7" s="287"/>
      <c r="C7" s="287"/>
      <c r="D7" s="287"/>
      <c r="E7" s="287"/>
      <c r="F7" s="287"/>
      <c r="G7" s="287"/>
      <c r="H7" s="288"/>
      <c r="I7" s="55">
        <f>I6-H6</f>
        <v>3.5373472895786833</v>
      </c>
      <c r="J7" s="55">
        <f t="shared" ref="J7:O7" si="6">J6-I6</f>
        <v>1.1972566964285711</v>
      </c>
      <c r="K7" s="55">
        <f t="shared" si="6"/>
        <v>1.1972566964285747</v>
      </c>
      <c r="L7" s="55">
        <f>L6-K6</f>
        <v>1.3169823660714286</v>
      </c>
      <c r="M7" s="55">
        <f>M6-L6</f>
        <v>1.3169823660714322</v>
      </c>
      <c r="N7" s="55">
        <f t="shared" si="6"/>
        <v>2.8973612053571465</v>
      </c>
      <c r="O7" s="55">
        <f t="shared" si="6"/>
        <v>3.1870973258928643</v>
      </c>
      <c r="P7" s="1"/>
      <c r="U7" s="1">
        <v>2</v>
      </c>
      <c r="V7" s="46">
        <f t="shared" si="0"/>
        <v>21.440930837591758</v>
      </c>
      <c r="W7" s="46">
        <f t="shared" si="1"/>
        <v>25.157356333705359</v>
      </c>
      <c r="X7" s="46">
        <f t="shared" si="2"/>
        <v>27.673091967075894</v>
      </c>
      <c r="Y7" s="46">
        <f t="shared" si="3"/>
        <v>30.440401163783488</v>
      </c>
      <c r="Z7" s="46">
        <f t="shared" si="4"/>
        <v>33.484441280161839</v>
      </c>
      <c r="AA7" s="46">
        <f t="shared" si="5"/>
        <v>36.832885408178029</v>
      </c>
    </row>
    <row r="8" spans="1:27" x14ac:dyDescent="0.2">
      <c r="A8" s="56" t="s">
        <v>64</v>
      </c>
      <c r="B8" s="59">
        <v>14.09</v>
      </c>
      <c r="C8" s="114">
        <v>29307.200000000001</v>
      </c>
      <c r="D8" s="59">
        <v>21.768303571428575</v>
      </c>
      <c r="E8" s="114">
        <v>45278.071428571435</v>
      </c>
      <c r="F8" s="59">
        <v>18.552533308175224</v>
      </c>
      <c r="G8" s="60">
        <v>18.552533308175224</v>
      </c>
      <c r="H8" s="60">
        <v>18.552533308175224</v>
      </c>
      <c r="I8" s="61">
        <v>21.768303571428575</v>
      </c>
      <c r="J8" s="61">
        <v>22.856718750000006</v>
      </c>
      <c r="K8" s="61">
        <v>23.945133928571433</v>
      </c>
      <c r="L8" s="61">
        <f>K8*1.05</f>
        <v>25.142390625000004</v>
      </c>
      <c r="M8" s="61">
        <v>26.339647321428579</v>
      </c>
      <c r="N8" s="61">
        <v>28.97361205357144</v>
      </c>
      <c r="O8" s="62">
        <v>31.870973258928601</v>
      </c>
      <c r="P8" s="46"/>
      <c r="U8" s="1">
        <v>3</v>
      </c>
      <c r="V8" s="46">
        <f t="shared" si="0"/>
        <v>21.976954108531551</v>
      </c>
      <c r="W8" s="46">
        <f t="shared" si="1"/>
        <v>25.78629024204799</v>
      </c>
      <c r="X8" s="46">
        <f t="shared" si="2"/>
        <v>28.364919266252791</v>
      </c>
      <c r="Y8" s="46">
        <f t="shared" si="3"/>
        <v>31.201411192878073</v>
      </c>
      <c r="Z8" s="46">
        <f t="shared" si="4"/>
        <v>34.321552312165885</v>
      </c>
      <c r="AA8" s="46">
        <f t="shared" si="5"/>
        <v>37.753707543382475</v>
      </c>
    </row>
    <row r="9" spans="1:27" x14ac:dyDescent="0.2">
      <c r="A9" s="286" t="s">
        <v>135</v>
      </c>
      <c r="B9" s="287"/>
      <c r="C9" s="287"/>
      <c r="D9" s="287"/>
      <c r="E9" s="287"/>
      <c r="F9" s="287"/>
      <c r="G9" s="287"/>
      <c r="H9" s="288"/>
      <c r="I9" s="55">
        <f>I8-H8</f>
        <v>3.2157702632533507</v>
      </c>
      <c r="J9" s="55">
        <f t="shared" ref="J9:N9" si="7">J8-I8</f>
        <v>1.0884151785714309</v>
      </c>
      <c r="K9" s="55">
        <f t="shared" si="7"/>
        <v>1.0884151785714273</v>
      </c>
      <c r="L9" s="55">
        <f t="shared" si="7"/>
        <v>1.1972566964285711</v>
      </c>
      <c r="M9" s="55">
        <f t="shared" si="7"/>
        <v>1.1972566964285747</v>
      </c>
      <c r="N9" s="55">
        <f t="shared" si="7"/>
        <v>2.6339647321428608</v>
      </c>
      <c r="O9" s="55">
        <f>O8-N8</f>
        <v>2.8973612053571607</v>
      </c>
      <c r="P9" s="1"/>
      <c r="U9" s="1">
        <v>4</v>
      </c>
      <c r="V9" s="46">
        <f t="shared" si="0"/>
        <v>22.526377961244837</v>
      </c>
      <c r="W9" s="46">
        <f t="shared" si="1"/>
        <v>26.430947498099187</v>
      </c>
      <c r="X9" s="46">
        <f t="shared" si="2"/>
        <v>29.074042247909109</v>
      </c>
      <c r="Y9" s="46">
        <f t="shared" si="3"/>
        <v>31.981446472700021</v>
      </c>
      <c r="Z9" s="46">
        <f t="shared" si="4"/>
        <v>35.179591119970027</v>
      </c>
      <c r="AA9" s="46">
        <f t="shared" si="5"/>
        <v>38.697550231967035</v>
      </c>
    </row>
    <row r="10" spans="1:27" x14ac:dyDescent="0.2">
      <c r="P10" s="1"/>
      <c r="Q10" s="40"/>
      <c r="U10" s="1">
        <v>5</v>
      </c>
      <c r="V10" s="46">
        <f t="shared" si="0"/>
        <v>23.089537410275955</v>
      </c>
      <c r="W10" s="46">
        <f t="shared" si="1"/>
        <v>27.091721185551663</v>
      </c>
      <c r="X10" s="46">
        <f t="shared" si="2"/>
        <v>29.800893304106832</v>
      </c>
      <c r="Y10" s="46">
        <f t="shared" si="3"/>
        <v>32.780982634517521</v>
      </c>
      <c r="Z10" s="46">
        <f t="shared" si="4"/>
        <v>36.059080897969274</v>
      </c>
      <c r="AA10" s="46">
        <f t="shared" si="5"/>
        <v>39.664988987766208</v>
      </c>
    </row>
    <row r="11" spans="1:27" x14ac:dyDescent="0.2">
      <c r="P11" s="1"/>
      <c r="Q11" s="40"/>
      <c r="U11" s="1">
        <v>6</v>
      </c>
      <c r="V11" s="46">
        <f t="shared" si="0"/>
        <v>23.666775845532854</v>
      </c>
      <c r="W11" s="46">
        <f t="shared" si="1"/>
        <v>27.769014215190452</v>
      </c>
      <c r="X11" s="46">
        <f t="shared" si="2"/>
        <v>30.545915636709502</v>
      </c>
      <c r="Y11" s="46">
        <f t="shared" si="3"/>
        <v>33.600507200380456</v>
      </c>
      <c r="Z11" s="46">
        <f t="shared" si="4"/>
        <v>36.960557920418502</v>
      </c>
      <c r="AA11" s="46">
        <f t="shared" si="5"/>
        <v>40.656613712460363</v>
      </c>
    </row>
    <row r="12" spans="1:27" x14ac:dyDescent="0.2">
      <c r="P12" s="1"/>
      <c r="Q12" s="40"/>
      <c r="U12" s="1">
        <v>7</v>
      </c>
      <c r="V12" s="46">
        <f t="shared" si="0"/>
        <v>24.258445241671172</v>
      </c>
      <c r="W12" s="46">
        <f t="shared" si="1"/>
        <v>28.463239570570213</v>
      </c>
      <c r="X12" s="46">
        <f t="shared" si="2"/>
        <v>31.309563527627237</v>
      </c>
      <c r="Y12" s="46">
        <f t="shared" si="3"/>
        <v>34.440519880389964</v>
      </c>
      <c r="Z12" s="46">
        <f t="shared" si="4"/>
        <v>37.884571868428964</v>
      </c>
      <c r="AA12" s="46">
        <f t="shared" si="5"/>
        <v>41.673029055271869</v>
      </c>
    </row>
    <row r="13" spans="1:27" x14ac:dyDescent="0.2">
      <c r="U13" s="1">
        <v>8</v>
      </c>
      <c r="V13" s="46">
        <f t="shared" si="0"/>
        <v>24.864906372712948</v>
      </c>
      <c r="W13" s="46">
        <f t="shared" si="1"/>
        <v>29.174820559834465</v>
      </c>
      <c r="X13" s="46">
        <f t="shared" si="2"/>
        <v>32.092302615817914</v>
      </c>
      <c r="Y13" s="46">
        <f t="shared" si="3"/>
        <v>35.301532877399708</v>
      </c>
      <c r="Z13" s="46">
        <f t="shared" si="4"/>
        <v>38.831686165139686</v>
      </c>
      <c r="AA13" s="46">
        <f t="shared" si="5"/>
        <v>42.714854781653663</v>
      </c>
    </row>
    <row r="14" spans="1:27" ht="16.5" thickBot="1" x14ac:dyDescent="0.3">
      <c r="A14" s="28" t="s">
        <v>345</v>
      </c>
      <c r="B14" s="28"/>
      <c r="C14" s="28"/>
      <c r="D14" s="28"/>
      <c r="E14" s="28"/>
      <c r="F14" s="28"/>
      <c r="G14" s="28"/>
      <c r="H14" s="28"/>
      <c r="I14" s="28"/>
      <c r="J14" s="28"/>
      <c r="K14" s="28"/>
      <c r="L14" s="28"/>
      <c r="M14" s="28"/>
      <c r="N14" s="28"/>
      <c r="O14" s="28"/>
      <c r="P14" s="28"/>
      <c r="Q14" s="28"/>
      <c r="R14" s="28"/>
      <c r="S14" s="28"/>
      <c r="T14" s="28"/>
      <c r="U14" s="1">
        <v>9</v>
      </c>
      <c r="V14" s="46">
        <f t="shared" si="0"/>
        <v>25.48652903203077</v>
      </c>
      <c r="W14" s="46">
        <f t="shared" si="1"/>
        <v>29.904191073830326</v>
      </c>
      <c r="X14" s="46">
        <f t="shared" si="2"/>
        <v>32.894610181213359</v>
      </c>
      <c r="Y14" s="46">
        <f t="shared" si="3"/>
        <v>36.184071199334696</v>
      </c>
      <c r="Z14" s="46">
        <f t="shared" si="4"/>
        <v>39.802478319268175</v>
      </c>
      <c r="AA14" s="46">
        <f t="shared" si="5"/>
        <v>43.782726151195</v>
      </c>
    </row>
    <row r="15" spans="1:27"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3"/>
      <c r="U15" s="1">
        <v>10</v>
      </c>
      <c r="V15" s="46">
        <f t="shared" si="0"/>
        <v>26.123692257831536</v>
      </c>
      <c r="W15" s="46">
        <f t="shared" si="1"/>
        <v>30.651795850676081</v>
      </c>
      <c r="X15" s="46">
        <f t="shared" si="2"/>
        <v>33.716975435743691</v>
      </c>
      <c r="Y15" s="46">
        <f t="shared" si="3"/>
        <v>37.088672979318062</v>
      </c>
      <c r="Z15" s="46">
        <f t="shared" si="4"/>
        <v>40.79754027724988</v>
      </c>
      <c r="AA15" s="46">
        <f t="shared" si="5"/>
        <v>44.877294304974868</v>
      </c>
    </row>
    <row r="16" spans="1:27"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4"/>
      <c r="U16" s="1">
        <v>11</v>
      </c>
      <c r="V16" s="46">
        <f t="shared" si="0"/>
        <v>26.776784564277321</v>
      </c>
      <c r="W16" s="46">
        <f t="shared" si="1"/>
        <v>31.41809074694298</v>
      </c>
      <c r="X16" s="46">
        <f t="shared" si="2"/>
        <v>34.559899821637281</v>
      </c>
      <c r="Y16" s="46">
        <f t="shared" si="3"/>
        <v>38.015889803801009</v>
      </c>
      <c r="Z16" s="46">
        <f t="shared" si="4"/>
        <v>41.81747878418112</v>
      </c>
      <c r="AA16" s="46">
        <f t="shared" si="5"/>
        <v>45.999226662599234</v>
      </c>
    </row>
    <row r="17" spans="1:27" ht="15" thickBot="1" x14ac:dyDescent="0.25">
      <c r="A17" s="276"/>
      <c r="B17" s="65" t="s">
        <v>141</v>
      </c>
      <c r="C17" s="66" t="s">
        <v>142</v>
      </c>
      <c r="D17" s="66" t="s">
        <v>143</v>
      </c>
      <c r="E17" s="67" t="s">
        <v>141</v>
      </c>
      <c r="F17" s="68" t="s">
        <v>142</v>
      </c>
      <c r="G17" s="69" t="s">
        <v>143</v>
      </c>
      <c r="H17" s="66" t="s">
        <v>141</v>
      </c>
      <c r="I17" s="66" t="s">
        <v>142</v>
      </c>
      <c r="J17" s="70" t="s">
        <v>143</v>
      </c>
      <c r="K17" s="65" t="s">
        <v>141</v>
      </c>
      <c r="L17" s="66" t="s">
        <v>142</v>
      </c>
      <c r="M17" s="70" t="s">
        <v>143</v>
      </c>
      <c r="N17" s="65" t="s">
        <v>141</v>
      </c>
      <c r="O17" s="66" t="s">
        <v>142</v>
      </c>
      <c r="P17" s="70" t="s">
        <v>143</v>
      </c>
      <c r="Q17" s="65" t="s">
        <v>141</v>
      </c>
      <c r="R17" s="66" t="s">
        <v>142</v>
      </c>
      <c r="S17" s="70" t="s">
        <v>143</v>
      </c>
      <c r="T17" s="71"/>
      <c r="U17" s="1">
        <v>12</v>
      </c>
      <c r="V17" s="46">
        <f t="shared" si="0"/>
        <v>27.446204178384253</v>
      </c>
      <c r="W17" s="46">
        <f t="shared" si="1"/>
        <v>32.203543015616553</v>
      </c>
      <c r="X17" s="46">
        <f t="shared" si="2"/>
        <v>35.423897317178209</v>
      </c>
      <c r="Y17" s="46">
        <f t="shared" si="3"/>
        <v>38.966287048896028</v>
      </c>
      <c r="Z17" s="46">
        <f t="shared" si="4"/>
        <v>42.862915753785643</v>
      </c>
      <c r="AA17" s="46">
        <f t="shared" si="5"/>
        <v>47.149207329164213</v>
      </c>
    </row>
    <row r="18" spans="1:27" x14ac:dyDescent="0.2">
      <c r="A18" s="72" t="s">
        <v>144</v>
      </c>
      <c r="B18" s="73">
        <f>H6</f>
        <v>20.40778663899275</v>
      </c>
      <c r="C18" s="73">
        <f>MEDIAN(B18,D18)</f>
        <v>21.192370373762152</v>
      </c>
      <c r="D18" s="73">
        <f>B18*((1.025)^3)</f>
        <v>21.976954108531551</v>
      </c>
      <c r="E18" s="74">
        <f>I6</f>
        <v>23.945133928571433</v>
      </c>
      <c r="F18" s="73">
        <f>MEDIAN(E18,G18)</f>
        <v>24.865712085309713</v>
      </c>
      <c r="G18" s="75">
        <f>E18*((1.025)^3)</f>
        <v>25.786290242047993</v>
      </c>
      <c r="H18" s="73">
        <f>K6</f>
        <v>26.339647321428579</v>
      </c>
      <c r="I18" s="73">
        <f>MEDIAN(H18,J18)</f>
        <v>27.352283293840685</v>
      </c>
      <c r="J18" s="75">
        <f>H18*((1.025)^3)</f>
        <v>28.364919266252794</v>
      </c>
      <c r="K18" s="74">
        <f>M6</f>
        <v>28.97361205357144</v>
      </c>
      <c r="L18" s="73">
        <f>MEDIAN(K18,M18)</f>
        <v>30.087511623224756</v>
      </c>
      <c r="M18" s="75">
        <f>K18*((1.025)^3)</f>
        <v>31.201411192878076</v>
      </c>
      <c r="N18" s="74">
        <f>N6</f>
        <v>31.870973258928586</v>
      </c>
      <c r="O18" s="73">
        <f>MEDIAN(N18,P18)</f>
        <v>33.096262785547239</v>
      </c>
      <c r="P18" s="75">
        <f>N18*((1.025)^3)</f>
        <v>34.321552312165892</v>
      </c>
      <c r="Q18" s="74">
        <f>O6</f>
        <v>35.058070584821451</v>
      </c>
      <c r="R18" s="73">
        <f>MEDIAN(Q18,S18)</f>
        <v>36.40588906410197</v>
      </c>
      <c r="S18" s="75">
        <f>Q18*((1.025)^3)</f>
        <v>37.753707543382482</v>
      </c>
      <c r="T18" s="73"/>
      <c r="U18" s="1">
        <v>13</v>
      </c>
      <c r="V18" s="46">
        <f t="shared" si="0"/>
        <v>28.132359282843858</v>
      </c>
      <c r="W18" s="46">
        <f t="shared" si="1"/>
        <v>33.008631591006967</v>
      </c>
      <c r="X18" s="46">
        <f t="shared" si="2"/>
        <v>36.30949475010766</v>
      </c>
      <c r="Y18" s="46">
        <f t="shared" si="3"/>
        <v>39.940444225118426</v>
      </c>
      <c r="Z18" s="46">
        <f t="shared" si="4"/>
        <v>43.934488647630282</v>
      </c>
      <c r="AA18" s="46">
        <f t="shared" si="5"/>
        <v>48.327937512393312</v>
      </c>
    </row>
    <row r="19" spans="1:27" x14ac:dyDescent="0.2">
      <c r="A19" s="76" t="s">
        <v>145</v>
      </c>
      <c r="B19" s="73">
        <f>B18*((1.025)^4)</f>
        <v>22.526377961244837</v>
      </c>
      <c r="C19" s="73">
        <f t="shared" ref="C19:C23" si="8">MEDIAN(B19,D19)</f>
        <v>23.096576903388844</v>
      </c>
      <c r="D19" s="73">
        <f>B18*((1.025)^6)</f>
        <v>23.66677584553285</v>
      </c>
      <c r="E19" s="74">
        <f>E18*((1.025)^4)</f>
        <v>26.43094749809919</v>
      </c>
      <c r="F19" s="73">
        <f t="shared" ref="F19:F23" si="9">MEDIAN(E19,G19)</f>
        <v>27.099980856644823</v>
      </c>
      <c r="G19" s="75">
        <f>E18*((1.025)^6)</f>
        <v>27.769014215190456</v>
      </c>
      <c r="H19" s="73">
        <f>H18*((1.025)^4)</f>
        <v>29.074042247909112</v>
      </c>
      <c r="I19" s="73">
        <f t="shared" ref="I19:I23" si="10">MEDIAN(H19,J19)</f>
        <v>29.809978942309307</v>
      </c>
      <c r="J19" s="75">
        <f>H18*((1.025)^6)</f>
        <v>30.545915636709505</v>
      </c>
      <c r="K19" s="74">
        <f>K18*((1.025)^4)</f>
        <v>31.981446472700025</v>
      </c>
      <c r="L19" s="73">
        <f t="shared" ref="L19:L23" si="11">MEDIAN(K19,M19)</f>
        <v>32.790976836540246</v>
      </c>
      <c r="M19" s="75">
        <f>K18*((1.025)^6)</f>
        <v>33.600507200380463</v>
      </c>
      <c r="N19" s="74">
        <f>N18*((1.025)^4)</f>
        <v>35.179591119970034</v>
      </c>
      <c r="O19" s="73">
        <f t="shared" ref="O19:O23" si="12">MEDIAN(N19,P19)</f>
        <v>36.070074520194268</v>
      </c>
      <c r="P19" s="75">
        <f>N18*((1.025)^6)</f>
        <v>36.960557920418509</v>
      </c>
      <c r="Q19" s="74">
        <f>Q18*((1.025)^4)</f>
        <v>38.697550231967043</v>
      </c>
      <c r="R19" s="73">
        <f t="shared" ref="R19:R23" si="13">MEDIAN(Q19,S19)</f>
        <v>39.677081972213699</v>
      </c>
      <c r="S19" s="75">
        <f>Q18*((1.025)^6)</f>
        <v>40.656613712460363</v>
      </c>
      <c r="T19" s="73"/>
      <c r="U19" s="1">
        <v>14</v>
      </c>
      <c r="V19" s="46">
        <f t="shared" si="0"/>
        <v>28.83566826491495</v>
      </c>
      <c r="W19" s="46">
        <f t="shared" si="1"/>
        <v>33.833847380782139</v>
      </c>
      <c r="X19" s="46">
        <f t="shared" si="2"/>
        <v>37.217232118860352</v>
      </c>
      <c r="Y19" s="46">
        <f t="shared" si="3"/>
        <v>40.938955330746381</v>
      </c>
      <c r="Z19" s="46">
        <f t="shared" si="4"/>
        <v>45.032850863821032</v>
      </c>
      <c r="AA19" s="46">
        <f t="shared" si="5"/>
        <v>49.536135950203139</v>
      </c>
    </row>
    <row r="20" spans="1:27" x14ac:dyDescent="0.2">
      <c r="A20" s="76" t="s">
        <v>146</v>
      </c>
      <c r="B20" s="73">
        <f>B18*((1.025)^7)</f>
        <v>24.258445241671176</v>
      </c>
      <c r="C20" s="73">
        <f t="shared" si="8"/>
        <v>24.872487136850971</v>
      </c>
      <c r="D20" s="73">
        <f>B18*((1.025)^9)</f>
        <v>25.48652903203077</v>
      </c>
      <c r="E20" s="74">
        <f>E18*((1.025)^7)</f>
        <v>28.46323957057022</v>
      </c>
      <c r="F20" s="73">
        <f t="shared" si="9"/>
        <v>29.183715322200275</v>
      </c>
      <c r="G20" s="75">
        <f>E18*((1.025)^9)</f>
        <v>29.904191073830329</v>
      </c>
      <c r="H20" s="73">
        <f>H18*((1.025)^7)</f>
        <v>31.309563527627244</v>
      </c>
      <c r="I20" s="73">
        <f t="shared" si="10"/>
        <v>32.102086854420307</v>
      </c>
      <c r="J20" s="75">
        <f>H18*((1.025)^9)</f>
        <v>32.894610181213366</v>
      </c>
      <c r="K20" s="74">
        <f>K18*((1.025)^7)</f>
        <v>34.440519880389971</v>
      </c>
      <c r="L20" s="73">
        <f t="shared" si="11"/>
        <v>35.312295539862333</v>
      </c>
      <c r="M20" s="75">
        <f>K18*((1.025)^9)</f>
        <v>36.184071199334703</v>
      </c>
      <c r="N20" s="74">
        <f>N18*((1.025)^7)</f>
        <v>37.884571868428971</v>
      </c>
      <c r="O20" s="73">
        <f t="shared" si="12"/>
        <v>38.843525093848577</v>
      </c>
      <c r="P20" s="75">
        <f>N18*((1.025)^9)</f>
        <v>39.802478319268182</v>
      </c>
      <c r="Q20" s="74">
        <f>Q18*((1.025)^7)</f>
        <v>41.673029055271876</v>
      </c>
      <c r="R20" s="73">
        <f t="shared" si="13"/>
        <v>42.727877603233438</v>
      </c>
      <c r="S20" s="75">
        <f>Q18*((1.025)^9)</f>
        <v>43.782726151195007</v>
      </c>
      <c r="T20" s="73"/>
      <c r="U20" s="1">
        <v>15</v>
      </c>
      <c r="V20" s="46">
        <f t="shared" si="0"/>
        <v>29.556559971537823</v>
      </c>
      <c r="W20" s="46">
        <f t="shared" si="1"/>
        <v>34.67969356530169</v>
      </c>
      <c r="X20" s="46">
        <f t="shared" si="2"/>
        <v>38.147662921831859</v>
      </c>
      <c r="Y20" s="46">
        <f t="shared" si="3"/>
        <v>41.962429214015039</v>
      </c>
      <c r="Z20" s="46">
        <f t="shared" si="4"/>
        <v>46.158672135416552</v>
      </c>
      <c r="AA20" s="46">
        <f t="shared" si="5"/>
        <v>50.774539348958214</v>
      </c>
    </row>
    <row r="21" spans="1:27" x14ac:dyDescent="0.2">
      <c r="A21" s="76" t="s">
        <v>147</v>
      </c>
      <c r="B21" s="73">
        <f>B18*((1.025)^10)</f>
        <v>26.123692257831539</v>
      </c>
      <c r="C21" s="73">
        <f t="shared" si="8"/>
        <v>26.7849482181079</v>
      </c>
      <c r="D21" s="73">
        <f>B18*((1.025)^12)</f>
        <v>27.44620417838426</v>
      </c>
      <c r="E21" s="74">
        <f>E18*((1.025)^10)</f>
        <v>30.651795850676088</v>
      </c>
      <c r="F21" s="73">
        <f t="shared" si="9"/>
        <v>31.427669433146324</v>
      </c>
      <c r="G21" s="75">
        <f>E18*((1.025)^12)</f>
        <v>32.20354301561656</v>
      </c>
      <c r="H21" s="73">
        <f>H18*((1.025)^10)</f>
        <v>33.716975435743699</v>
      </c>
      <c r="I21" s="73">
        <f t="shared" si="10"/>
        <v>34.570436376460961</v>
      </c>
      <c r="J21" s="75">
        <f>H18*((1.025)^12)</f>
        <v>35.423897317178223</v>
      </c>
      <c r="K21" s="74">
        <f>K18*((1.025)^10)</f>
        <v>37.088672979318076</v>
      </c>
      <c r="L21" s="73">
        <f t="shared" si="11"/>
        <v>38.027480014107063</v>
      </c>
      <c r="M21" s="75">
        <f>K18*((1.025)^12)</f>
        <v>38.966287048896049</v>
      </c>
      <c r="N21" s="74">
        <f>N18*((1.025)^10)</f>
        <v>40.797540277249887</v>
      </c>
      <c r="O21" s="73">
        <f t="shared" si="12"/>
        <v>41.830228015517775</v>
      </c>
      <c r="P21" s="75">
        <f>N18*((1.025)^12)</f>
        <v>42.862915753785657</v>
      </c>
      <c r="Q21" s="74">
        <f>Q18*((1.025)^10)</f>
        <v>44.877294304974882</v>
      </c>
      <c r="R21" s="73">
        <f t="shared" si="13"/>
        <v>46.013250817069554</v>
      </c>
      <c r="S21" s="75">
        <f>Q18*((1.025)^12)</f>
        <v>47.149207329164227</v>
      </c>
      <c r="T21" s="73"/>
      <c r="U21" s="1">
        <v>16</v>
      </c>
      <c r="V21" s="46">
        <f t="shared" si="0"/>
        <v>30.295473970826265</v>
      </c>
      <c r="W21" s="46">
        <f t="shared" si="1"/>
        <v>35.546685904434227</v>
      </c>
      <c r="X21" s="46">
        <f t="shared" si="2"/>
        <v>39.101354494877654</v>
      </c>
      <c r="Y21" s="46">
        <f t="shared" si="3"/>
        <v>43.011489944365408</v>
      </c>
      <c r="Z21" s="46">
        <f t="shared" si="4"/>
        <v>47.31263893880196</v>
      </c>
      <c r="AA21" s="46">
        <f t="shared" si="5"/>
        <v>52.043902832682164</v>
      </c>
    </row>
    <row r="22" spans="1:27" x14ac:dyDescent="0.2">
      <c r="A22" s="76" t="s">
        <v>148</v>
      </c>
      <c r="B22" s="73">
        <f>B18*((1.025)^13)</f>
        <v>28.132359282843865</v>
      </c>
      <c r="C22" s="73">
        <f t="shared" si="8"/>
        <v>28.844459627190851</v>
      </c>
      <c r="D22" s="73">
        <f>B18*((1.025)^15)</f>
        <v>29.556559971537837</v>
      </c>
      <c r="E22" s="74">
        <f>E18*((1.025)^13)</f>
        <v>33.008631591006974</v>
      </c>
      <c r="F22" s="73">
        <f t="shared" si="9"/>
        <v>33.844162578154339</v>
      </c>
      <c r="G22" s="75">
        <f>E18*((1.025)^15)</f>
        <v>34.679693565301704</v>
      </c>
      <c r="H22" s="73">
        <f>H18*((1.025)^13)</f>
        <v>36.309494750107675</v>
      </c>
      <c r="I22" s="73">
        <f t="shared" si="10"/>
        <v>37.228578835969778</v>
      </c>
      <c r="J22" s="75">
        <f>H18*((1.025)^15)</f>
        <v>38.147662921831881</v>
      </c>
      <c r="K22" s="74">
        <f>K18*((1.025)^13)</f>
        <v>39.940444225118448</v>
      </c>
      <c r="L22" s="73">
        <f t="shared" si="11"/>
        <v>40.951436719566757</v>
      </c>
      <c r="M22" s="75">
        <f>K18*((1.025)^15)</f>
        <v>41.962429214015067</v>
      </c>
      <c r="N22" s="74">
        <f>N18*((1.025)^13)</f>
        <v>43.934488647630296</v>
      </c>
      <c r="O22" s="73">
        <f t="shared" si="12"/>
        <v>45.046580391523435</v>
      </c>
      <c r="P22" s="75">
        <f>N18*((1.025)^15)</f>
        <v>46.15867213541658</v>
      </c>
      <c r="Q22" s="74">
        <f>Q18*((1.025)^13)</f>
        <v>48.327937512393333</v>
      </c>
      <c r="R22" s="73">
        <f t="shared" si="13"/>
        <v>49.551238430675795</v>
      </c>
      <c r="S22" s="75">
        <f>Q18*((1.025)^15)</f>
        <v>50.77453934895825</v>
      </c>
      <c r="T22" s="73"/>
      <c r="U22" s="1">
        <v>17</v>
      </c>
      <c r="V22" s="46">
        <f t="shared" si="0"/>
        <v>31.052860820096917</v>
      </c>
      <c r="W22" s="46">
        <f t="shared" si="1"/>
        <v>36.43535305204508</v>
      </c>
      <c r="X22" s="46">
        <f t="shared" si="2"/>
        <v>40.078888357249589</v>
      </c>
      <c r="Y22" s="46">
        <f t="shared" si="3"/>
        <v>44.086777192974537</v>
      </c>
      <c r="Z22" s="46">
        <f t="shared" si="4"/>
        <v>48.495454912272002</v>
      </c>
      <c r="AA22" s="46">
        <f t="shared" si="5"/>
        <v>53.345000403499213</v>
      </c>
    </row>
    <row r="23" spans="1:27" x14ac:dyDescent="0.2">
      <c r="A23" s="76" t="s">
        <v>149</v>
      </c>
      <c r="B23" s="73">
        <f>B18*((1.025)^16)</f>
        <v>30.295473970826279</v>
      </c>
      <c r="C23" s="73">
        <f t="shared" si="8"/>
        <v>31.868004333709237</v>
      </c>
      <c r="D23" s="73">
        <f>B18*((1.025)^20)</f>
        <v>33.440534696592195</v>
      </c>
      <c r="E23" s="74">
        <f>E18*((1.025)^16)</f>
        <v>35.546685904434241</v>
      </c>
      <c r="F23" s="73">
        <f t="shared" si="9"/>
        <v>37.391788012373368</v>
      </c>
      <c r="G23" s="75">
        <f>E18*((1.025)^20)</f>
        <v>39.236890120312495</v>
      </c>
      <c r="H23" s="74">
        <f>H18*((1.025)^16)</f>
        <v>39.101354494877675</v>
      </c>
      <c r="I23" s="73">
        <f t="shared" si="10"/>
        <v>41.130966813610712</v>
      </c>
      <c r="J23" s="75">
        <f>H18*((1.025)^20)</f>
        <v>43.160579132343749</v>
      </c>
      <c r="K23" s="73">
        <f>K18*((1.025)^16)</f>
        <v>43.011489944365444</v>
      </c>
      <c r="L23" s="73">
        <f t="shared" si="11"/>
        <v>45.244063494971783</v>
      </c>
      <c r="M23" s="75">
        <f>K18*((1.025)^20)</f>
        <v>47.47663704557813</v>
      </c>
      <c r="N23" s="73">
        <f>N18*((1.025)^16)</f>
        <v>47.312638938801989</v>
      </c>
      <c r="O23" s="73">
        <f t="shared" si="12"/>
        <v>49.768469844468967</v>
      </c>
      <c r="P23" s="73">
        <f>N18*((1.025)^20)</f>
        <v>52.224300750135946</v>
      </c>
      <c r="Q23" s="74">
        <f>Q18*((1.025)^16)</f>
        <v>52.0439028326822</v>
      </c>
      <c r="R23" s="73">
        <f t="shared" si="13"/>
        <v>54.745316828915875</v>
      </c>
      <c r="S23" s="75">
        <f>Q18*((1.025)^20)</f>
        <v>57.446730825149551</v>
      </c>
      <c r="T23" s="73"/>
      <c r="U23" s="1">
        <v>18</v>
      </c>
      <c r="V23" s="46">
        <f t="shared" si="0"/>
        <v>31.829182340599338</v>
      </c>
      <c r="W23" s="46">
        <f t="shared" si="1"/>
        <v>37.346236878346204</v>
      </c>
      <c r="X23" s="46">
        <f t="shared" si="2"/>
        <v>41.080860566180824</v>
      </c>
      <c r="Y23" s="46">
        <f t="shared" si="3"/>
        <v>45.188946622798895</v>
      </c>
      <c r="Z23" s="46">
        <f t="shared" si="4"/>
        <v>49.7078412850788</v>
      </c>
      <c r="AA23" s="46">
        <f t="shared" si="5"/>
        <v>54.678625413586687</v>
      </c>
    </row>
    <row r="24" spans="1:27" ht="15" x14ac:dyDescent="0.25">
      <c r="A24" s="44"/>
      <c r="B24" s="36"/>
      <c r="C24" s="46"/>
      <c r="D24" s="36"/>
      <c r="E24" s="81"/>
      <c r="F24" s="81"/>
      <c r="G24" s="81"/>
      <c r="H24" s="81"/>
      <c r="I24" s="73"/>
      <c r="J24" s="73"/>
      <c r="M24" s="40"/>
      <c r="P24" s="1"/>
      <c r="U24" s="1">
        <v>19</v>
      </c>
      <c r="V24" s="46">
        <f t="shared" si="0"/>
        <v>32.624911899114316</v>
      </c>
      <c r="W24" s="46">
        <f t="shared" si="1"/>
        <v>38.279892800304857</v>
      </c>
      <c r="X24" s="46">
        <f t="shared" si="2"/>
        <v>42.107882080335344</v>
      </c>
      <c r="Y24" s="46">
        <f t="shared" si="3"/>
        <v>46.318670288368864</v>
      </c>
      <c r="Z24" s="46">
        <f t="shared" si="4"/>
        <v>50.950537317205765</v>
      </c>
      <c r="AA24" s="46">
        <f t="shared" si="5"/>
        <v>56.045591048926347</v>
      </c>
    </row>
    <row r="25" spans="1:27" ht="15" x14ac:dyDescent="0.25">
      <c r="A25" s="44"/>
      <c r="B25" s="36"/>
      <c r="C25" s="46"/>
      <c r="D25" s="36"/>
      <c r="E25" s="81"/>
      <c r="F25" s="81"/>
      <c r="G25" s="81"/>
      <c r="H25" s="81"/>
      <c r="I25" s="73"/>
      <c r="J25" s="73"/>
      <c r="M25" s="40"/>
      <c r="P25" s="1"/>
      <c r="U25" s="1">
        <v>20</v>
      </c>
      <c r="V25" s="46">
        <f t="shared" si="0"/>
        <v>33.440534696592174</v>
      </c>
      <c r="W25" s="46">
        <f t="shared" si="1"/>
        <v>39.236890120312474</v>
      </c>
      <c r="X25" s="46">
        <f t="shared" si="2"/>
        <v>43.16057913234372</v>
      </c>
      <c r="Y25" s="46">
        <f t="shared" si="3"/>
        <v>47.47663704557808</v>
      </c>
      <c r="Z25" s="46">
        <f t="shared" si="4"/>
        <v>52.224300750135903</v>
      </c>
      <c r="AA25" s="46">
        <f t="shared" si="5"/>
        <v>57.446730825149501</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346</v>
      </c>
      <c r="B28" s="28"/>
      <c r="C28" s="28"/>
      <c r="D28" s="28"/>
      <c r="E28" s="28"/>
      <c r="F28" s="28"/>
      <c r="G28" s="28"/>
      <c r="H28" s="28"/>
      <c r="I28" s="28"/>
      <c r="J28" s="28"/>
      <c r="K28" s="28"/>
      <c r="L28" s="28"/>
      <c r="M28" s="28"/>
      <c r="N28" s="28"/>
      <c r="O28" s="28"/>
      <c r="P28" s="28"/>
      <c r="Q28" s="28"/>
      <c r="R28" s="28"/>
      <c r="S28" s="28"/>
      <c r="V28" s="273" t="s">
        <v>54</v>
      </c>
      <c r="W28" s="273"/>
      <c r="X28" s="273"/>
      <c r="Y28" s="273"/>
      <c r="Z28" s="273"/>
      <c r="AA28" s="273"/>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1" t="s">
        <v>130</v>
      </c>
      <c r="V29" s="44" t="s">
        <v>131</v>
      </c>
      <c r="W29" s="44" t="s">
        <v>48</v>
      </c>
      <c r="X29" s="44" t="s">
        <v>50</v>
      </c>
      <c r="Y29" s="44" t="s">
        <v>132</v>
      </c>
      <c r="Z29" s="44" t="s">
        <v>133</v>
      </c>
      <c r="AA29" s="44"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46">
        <f>H8</f>
        <v>18.552533308175224</v>
      </c>
      <c r="W30" s="46">
        <f>I8</f>
        <v>21.768303571428575</v>
      </c>
      <c r="X30" s="46">
        <f>K8</f>
        <v>23.945133928571433</v>
      </c>
      <c r="Y30" s="46">
        <f>M8</f>
        <v>26.339647321428579</v>
      </c>
      <c r="Z30" s="46">
        <f>N8</f>
        <v>28.97361205357144</v>
      </c>
      <c r="AA30" s="46">
        <f>O8</f>
        <v>31.870973258928601</v>
      </c>
    </row>
    <row r="31" spans="1:27" ht="15" thickBot="1" x14ac:dyDescent="0.25">
      <c r="A31" s="276"/>
      <c r="B31" s="65" t="s">
        <v>141</v>
      </c>
      <c r="C31" s="66" t="s">
        <v>142</v>
      </c>
      <c r="D31" s="70" t="s">
        <v>143</v>
      </c>
      <c r="E31" s="68" t="s">
        <v>141</v>
      </c>
      <c r="F31" s="68" t="s">
        <v>142</v>
      </c>
      <c r="G31" s="68" t="s">
        <v>143</v>
      </c>
      <c r="H31" s="65" t="s">
        <v>141</v>
      </c>
      <c r="I31" s="66" t="s">
        <v>142</v>
      </c>
      <c r="J31" s="70" t="s">
        <v>143</v>
      </c>
      <c r="K31" s="65" t="s">
        <v>141</v>
      </c>
      <c r="L31" s="66" t="s">
        <v>142</v>
      </c>
      <c r="M31" s="70" t="s">
        <v>143</v>
      </c>
      <c r="N31" s="65" t="s">
        <v>141</v>
      </c>
      <c r="O31" s="66" t="s">
        <v>142</v>
      </c>
      <c r="P31" s="70" t="s">
        <v>143</v>
      </c>
      <c r="Q31" s="65" t="s">
        <v>141</v>
      </c>
      <c r="R31" s="66" t="s">
        <v>142</v>
      </c>
      <c r="S31" s="70" t="s">
        <v>143</v>
      </c>
      <c r="U31" s="1">
        <v>1</v>
      </c>
      <c r="V31" s="46">
        <f t="shared" ref="V31:V50" si="14">V30*1.025</f>
        <v>19.016346640879604</v>
      </c>
      <c r="W31" s="46">
        <f t="shared" ref="W31:W50" si="15">W30*1.025</f>
        <v>22.312511160714287</v>
      </c>
      <c r="X31" s="46">
        <f t="shared" ref="X31:X50" si="16">X30*1.025</f>
        <v>24.543762276785717</v>
      </c>
      <c r="Y31" s="46">
        <f t="shared" ref="Y31:Y50" si="17">Y30*1.025</f>
        <v>26.99813850446429</v>
      </c>
      <c r="Z31" s="46">
        <f t="shared" ref="Z31:Z50" si="18">Z30*1.025</f>
        <v>29.697952354910722</v>
      </c>
      <c r="AA31" s="46">
        <f t="shared" ref="AA31:AA50" si="19">AA30*1.025</f>
        <v>32.66774759040181</v>
      </c>
    </row>
    <row r="32" spans="1:27" x14ac:dyDescent="0.2">
      <c r="A32" s="72" t="s">
        <v>144</v>
      </c>
      <c r="B32" s="73">
        <f>F8</f>
        <v>18.552533308175224</v>
      </c>
      <c r="C32" s="73">
        <f>MEDIAN(B32,D32)</f>
        <v>19.265791248874677</v>
      </c>
      <c r="D32" s="75">
        <f>B32*((1.025)^3)</f>
        <v>19.979049189574134</v>
      </c>
      <c r="E32" s="73">
        <f>I8</f>
        <v>21.768303571428575</v>
      </c>
      <c r="F32" s="73">
        <f>MEDIAN(E32,G32)</f>
        <v>22.605192804827013</v>
      </c>
      <c r="G32" s="73">
        <f>E32*((1.025)^3)</f>
        <v>23.442082038225447</v>
      </c>
      <c r="H32" s="74">
        <f>K8</f>
        <v>23.945133928571433</v>
      </c>
      <c r="I32" s="73">
        <f>MEDIAN(H32,J32)</f>
        <v>24.865712085309713</v>
      </c>
      <c r="J32" s="75">
        <f>H32*((1.025)^3)</f>
        <v>25.786290242047993</v>
      </c>
      <c r="K32" s="74">
        <f>M8</f>
        <v>26.339647321428579</v>
      </c>
      <c r="L32" s="73">
        <f>MEDIAN(K32,M32)</f>
        <v>27.352283293840685</v>
      </c>
      <c r="M32" s="75">
        <f>K32*((1.025)^3)</f>
        <v>28.364919266252794</v>
      </c>
      <c r="N32" s="74">
        <f>N8</f>
        <v>28.97361205357144</v>
      </c>
      <c r="O32" s="73">
        <f>MEDIAN(N32,P32)</f>
        <v>30.087511623224756</v>
      </c>
      <c r="P32" s="75">
        <f>N32*((1.025)^3)</f>
        <v>31.201411192878076</v>
      </c>
      <c r="Q32" s="74">
        <f>O8</f>
        <v>31.870973258928601</v>
      </c>
      <c r="R32" s="73">
        <f>MEDIAN(Q32,S32)</f>
        <v>33.096262785547253</v>
      </c>
      <c r="S32" s="75">
        <f>Q32*((1.025)^3)</f>
        <v>34.321552312165906</v>
      </c>
      <c r="U32" s="1">
        <v>2</v>
      </c>
      <c r="V32" s="46">
        <f t="shared" si="14"/>
        <v>19.491755306901592</v>
      </c>
      <c r="W32" s="46">
        <f t="shared" si="15"/>
        <v>22.870323939732142</v>
      </c>
      <c r="X32" s="46">
        <f t="shared" si="16"/>
        <v>25.157356333705359</v>
      </c>
      <c r="Y32" s="46">
        <f t="shared" si="17"/>
        <v>27.673091967075894</v>
      </c>
      <c r="Z32" s="46">
        <f t="shared" si="18"/>
        <v>30.440401163783488</v>
      </c>
      <c r="AA32" s="46">
        <f t="shared" si="19"/>
        <v>33.484441280161853</v>
      </c>
    </row>
    <row r="33" spans="1:27" x14ac:dyDescent="0.2">
      <c r="A33" s="76" t="s">
        <v>145</v>
      </c>
      <c r="B33" s="73">
        <f>B32*((1.025)^4)</f>
        <v>20.478525419313485</v>
      </c>
      <c r="C33" s="73">
        <f t="shared" ref="C33:C37" si="20">MEDIAN(B33,D33)</f>
        <v>20.996888093989853</v>
      </c>
      <c r="D33" s="75">
        <f>B32*((1.025)^6)</f>
        <v>21.515250768666224</v>
      </c>
      <c r="E33" s="73">
        <f>E32*((1.025)^4)</f>
        <v>24.02813408918108</v>
      </c>
      <c r="F33" s="73">
        <f t="shared" ref="F33:F37" si="21">MEDIAN(E33,G33)</f>
        <v>24.636346233313475</v>
      </c>
      <c r="G33" s="73">
        <f>E32*((1.025)^6)</f>
        <v>25.24455837744587</v>
      </c>
      <c r="H33" s="74">
        <f>H32*((1.025)^4)</f>
        <v>26.43094749809919</v>
      </c>
      <c r="I33" s="73">
        <f t="shared" ref="I33:I37" si="22">MEDIAN(H33,J33)</f>
        <v>27.099980856644823</v>
      </c>
      <c r="J33" s="75">
        <f>H32*((1.025)^6)</f>
        <v>27.769014215190456</v>
      </c>
      <c r="K33" s="74">
        <f>K32*((1.025)^4)</f>
        <v>29.074042247909112</v>
      </c>
      <c r="L33" s="73">
        <f t="shared" ref="L33:L37" si="23">MEDIAN(K33,M33)</f>
        <v>29.809978942309307</v>
      </c>
      <c r="M33" s="75">
        <f>K32*((1.025)^6)</f>
        <v>30.545915636709505</v>
      </c>
      <c r="N33" s="74">
        <f>N32*((1.025)^4)</f>
        <v>31.981446472700025</v>
      </c>
      <c r="O33" s="73">
        <f t="shared" ref="O33:O37" si="24">MEDIAN(N33,P33)</f>
        <v>32.790976836540246</v>
      </c>
      <c r="P33" s="75">
        <f>N32*((1.025)^6)</f>
        <v>33.600507200380463</v>
      </c>
      <c r="Q33" s="74">
        <f>Q32*((1.025)^4)</f>
        <v>35.179591119970048</v>
      </c>
      <c r="R33" s="73">
        <f t="shared" ref="R33:R37" si="25">MEDIAN(Q33,S33)</f>
        <v>36.070074520194282</v>
      </c>
      <c r="S33" s="75">
        <f>Q32*((1.025)^6)</f>
        <v>36.960557920418523</v>
      </c>
      <c r="U33" s="1">
        <v>3</v>
      </c>
      <c r="V33" s="46">
        <f t="shared" si="14"/>
        <v>19.97904918957413</v>
      </c>
      <c r="W33" s="46">
        <f t="shared" si="15"/>
        <v>23.442082038225443</v>
      </c>
      <c r="X33" s="46">
        <f t="shared" si="16"/>
        <v>25.78629024204799</v>
      </c>
      <c r="Y33" s="46">
        <f t="shared" si="17"/>
        <v>28.364919266252791</v>
      </c>
      <c r="Z33" s="46">
        <f t="shared" si="18"/>
        <v>31.201411192878073</v>
      </c>
      <c r="AA33" s="46">
        <f t="shared" si="19"/>
        <v>34.321552312165899</v>
      </c>
    </row>
    <row r="34" spans="1:27" x14ac:dyDescent="0.2">
      <c r="A34" s="76" t="s">
        <v>146</v>
      </c>
      <c r="B34" s="73">
        <f>B32*((1.025)^7)</f>
        <v>22.053132037882882</v>
      </c>
      <c r="C34" s="73">
        <f t="shared" si="20"/>
        <v>22.611351942591789</v>
      </c>
      <c r="D34" s="75">
        <f>B32*((1.025)^9)</f>
        <v>23.169571847300698</v>
      </c>
      <c r="E34" s="73">
        <f>E32*((1.025)^7)</f>
        <v>25.875672336882019</v>
      </c>
      <c r="F34" s="73">
        <f t="shared" si="21"/>
        <v>26.530650292909343</v>
      </c>
      <c r="G34" s="73">
        <f>E32*((1.025)^9)</f>
        <v>27.185628248936663</v>
      </c>
      <c r="H34" s="74">
        <f>H32*((1.025)^7)</f>
        <v>28.46323957057022</v>
      </c>
      <c r="I34" s="73">
        <f t="shared" si="22"/>
        <v>29.183715322200275</v>
      </c>
      <c r="J34" s="75">
        <f>H32*((1.025)^9)</f>
        <v>29.904191073830329</v>
      </c>
      <c r="K34" s="74">
        <f>K32*((1.025)^7)</f>
        <v>31.309563527627244</v>
      </c>
      <c r="L34" s="73">
        <f t="shared" si="23"/>
        <v>32.102086854420307</v>
      </c>
      <c r="M34" s="75">
        <f>K32*((1.025)^9)</f>
        <v>32.894610181213366</v>
      </c>
      <c r="N34" s="74">
        <f>N32*((1.025)^7)</f>
        <v>34.440519880389971</v>
      </c>
      <c r="O34" s="73">
        <f t="shared" si="24"/>
        <v>35.312295539862333</v>
      </c>
      <c r="P34" s="75">
        <f>N32*((1.025)^9)</f>
        <v>36.184071199334703</v>
      </c>
      <c r="Q34" s="74">
        <f>Q32*((1.025)^7)</f>
        <v>37.884571868428992</v>
      </c>
      <c r="R34" s="73">
        <f t="shared" si="25"/>
        <v>38.843525093848598</v>
      </c>
      <c r="S34" s="75">
        <f>Q32*((1.025)^9)</f>
        <v>39.802478319268197</v>
      </c>
      <c r="U34" s="1">
        <v>4</v>
      </c>
      <c r="V34" s="46">
        <f t="shared" si="14"/>
        <v>20.478525419313481</v>
      </c>
      <c r="W34" s="46">
        <f t="shared" si="15"/>
        <v>24.028134089181076</v>
      </c>
      <c r="X34" s="46">
        <f t="shared" si="16"/>
        <v>26.430947498099187</v>
      </c>
      <c r="Y34" s="46">
        <f t="shared" si="17"/>
        <v>29.074042247909109</v>
      </c>
      <c r="Z34" s="46">
        <f t="shared" si="18"/>
        <v>31.981446472700021</v>
      </c>
      <c r="AA34" s="46">
        <f t="shared" si="19"/>
        <v>35.179591119970041</v>
      </c>
    </row>
    <row r="35" spans="1:27" x14ac:dyDescent="0.2">
      <c r="A35" s="76" t="s">
        <v>147</v>
      </c>
      <c r="B35" s="73">
        <f>B32*((1.025)^10)</f>
        <v>23.748811143483216</v>
      </c>
      <c r="C35" s="73">
        <f t="shared" si="20"/>
        <v>24.349952925552635</v>
      </c>
      <c r="D35" s="75">
        <f>B32*((1.025)^12)</f>
        <v>24.951094707622051</v>
      </c>
      <c r="E35" s="73">
        <f>E32*((1.025)^10)</f>
        <v>27.865268955160079</v>
      </c>
      <c r="F35" s="73">
        <f t="shared" si="21"/>
        <v>28.570608575587567</v>
      </c>
      <c r="G35" s="73">
        <f>E32*((1.025)^12)</f>
        <v>29.275948196015054</v>
      </c>
      <c r="H35" s="74">
        <f>H32*((1.025)^10)</f>
        <v>30.651795850676088</v>
      </c>
      <c r="I35" s="73">
        <f t="shared" si="22"/>
        <v>31.427669433146324</v>
      </c>
      <c r="J35" s="75">
        <f>H32*((1.025)^12)</f>
        <v>32.20354301561656</v>
      </c>
      <c r="K35" s="74">
        <f>K32*((1.025)^10)</f>
        <v>33.716975435743699</v>
      </c>
      <c r="L35" s="73">
        <f t="shared" si="23"/>
        <v>34.570436376460961</v>
      </c>
      <c r="M35" s="75">
        <f>K32*((1.025)^12)</f>
        <v>35.423897317178223</v>
      </c>
      <c r="N35" s="74">
        <f>N32*((1.025)^10)</f>
        <v>37.088672979318076</v>
      </c>
      <c r="O35" s="73">
        <f t="shared" si="24"/>
        <v>38.027480014107063</v>
      </c>
      <c r="P35" s="75">
        <f>N32*((1.025)^12)</f>
        <v>38.966287048896049</v>
      </c>
      <c r="Q35" s="74">
        <f>Q32*((1.025)^10)</f>
        <v>40.797540277249901</v>
      </c>
      <c r="R35" s="73">
        <f t="shared" si="25"/>
        <v>41.83022801551779</v>
      </c>
      <c r="S35" s="75">
        <f>Q32*((1.025)^12)</f>
        <v>42.862915753785671</v>
      </c>
      <c r="U35" s="1">
        <v>5</v>
      </c>
      <c r="V35" s="46">
        <f t="shared" si="14"/>
        <v>20.990488554796315</v>
      </c>
      <c r="W35" s="46">
        <f t="shared" si="15"/>
        <v>24.628837441410599</v>
      </c>
      <c r="X35" s="46">
        <f t="shared" si="16"/>
        <v>27.091721185551663</v>
      </c>
      <c r="Y35" s="46">
        <f t="shared" si="17"/>
        <v>29.800893304106832</v>
      </c>
      <c r="Z35" s="46">
        <f t="shared" si="18"/>
        <v>32.780982634517521</v>
      </c>
      <c r="AA35" s="46">
        <f t="shared" si="19"/>
        <v>36.059080897969288</v>
      </c>
    </row>
    <row r="36" spans="1:27" x14ac:dyDescent="0.2">
      <c r="A36" s="76" t="s">
        <v>148</v>
      </c>
      <c r="B36" s="73">
        <f>B32*((1.025)^13)</f>
        <v>25.574872075312602</v>
      </c>
      <c r="C36" s="73">
        <f t="shared" si="20"/>
        <v>26.222236024718953</v>
      </c>
      <c r="D36" s="73">
        <f>B32*((1.025)^15)</f>
        <v>26.8695999741253</v>
      </c>
      <c r="E36" s="74">
        <f>E32*((1.025)^13)</f>
        <v>30.007846900915432</v>
      </c>
      <c r="F36" s="73">
        <f t="shared" si="21"/>
        <v>30.767420525594854</v>
      </c>
      <c r="G36" s="75">
        <f>E32*((1.025)^15)</f>
        <v>31.526994150274277</v>
      </c>
      <c r="H36" s="73">
        <f>H32*((1.025)^13)</f>
        <v>33.008631591006974</v>
      </c>
      <c r="I36" s="73">
        <f t="shared" si="22"/>
        <v>33.844162578154339</v>
      </c>
      <c r="J36" s="75">
        <f>H32*((1.025)^15)</f>
        <v>34.679693565301704</v>
      </c>
      <c r="K36" s="74">
        <f>K32*((1.025)^13)</f>
        <v>36.309494750107675</v>
      </c>
      <c r="L36" s="73">
        <f t="shared" si="23"/>
        <v>37.228578835969778</v>
      </c>
      <c r="M36" s="75">
        <f>K32*((1.025)^15)</f>
        <v>38.147662921831881</v>
      </c>
      <c r="N36" s="74">
        <f>N32*((1.025)^13)</f>
        <v>39.940444225118448</v>
      </c>
      <c r="O36" s="73">
        <f t="shared" si="24"/>
        <v>40.951436719566757</v>
      </c>
      <c r="P36" s="75">
        <f>N32*((1.025)^15)</f>
        <v>41.962429214015067</v>
      </c>
      <c r="Q36" s="74">
        <f>Q32*((1.025)^13)</f>
        <v>43.934488647630317</v>
      </c>
      <c r="R36" s="73">
        <f t="shared" si="25"/>
        <v>45.046580391523463</v>
      </c>
      <c r="S36" s="75">
        <f>Q32*((1.025)^15)</f>
        <v>46.158672135416602</v>
      </c>
      <c r="T36" s="46"/>
      <c r="U36" s="1">
        <v>6</v>
      </c>
      <c r="V36" s="46">
        <f t="shared" si="14"/>
        <v>21.51525076866622</v>
      </c>
      <c r="W36" s="46">
        <f t="shared" si="15"/>
        <v>25.244558377445863</v>
      </c>
      <c r="X36" s="46">
        <f t="shared" si="16"/>
        <v>27.769014215190452</v>
      </c>
      <c r="Y36" s="46">
        <f t="shared" si="17"/>
        <v>30.545915636709502</v>
      </c>
      <c r="Z36" s="46">
        <f t="shared" si="18"/>
        <v>33.600507200380456</v>
      </c>
      <c r="AA36" s="46">
        <f t="shared" si="19"/>
        <v>36.960557920418516</v>
      </c>
    </row>
    <row r="37" spans="1:27" x14ac:dyDescent="0.2">
      <c r="A37" s="76" t="s">
        <v>149</v>
      </c>
      <c r="B37" s="73">
        <f>B32*((1.025)^16)</f>
        <v>27.541339973478433</v>
      </c>
      <c r="C37" s="73">
        <f t="shared" si="20"/>
        <v>28.970913030644759</v>
      </c>
      <c r="D37" s="73">
        <f>B32*((1.025)^20)</f>
        <v>30.400486087811082</v>
      </c>
      <c r="E37" s="74">
        <f>E32*((1.025)^16)</f>
        <v>32.315169004031127</v>
      </c>
      <c r="F37" s="73">
        <f t="shared" si="21"/>
        <v>33.992534556703063</v>
      </c>
      <c r="G37" s="75">
        <f>E32*((1.025)^20)</f>
        <v>35.669900109374993</v>
      </c>
      <c r="H37" s="74">
        <f>H32*((1.025)^16)</f>
        <v>35.546685904434241</v>
      </c>
      <c r="I37" s="73">
        <f t="shared" si="22"/>
        <v>37.391788012373368</v>
      </c>
      <c r="J37" s="75">
        <f>H32*((1.025)^20)</f>
        <v>39.236890120312495</v>
      </c>
      <c r="K37" s="73">
        <f>K32*((1.025)^16)</f>
        <v>39.101354494877675</v>
      </c>
      <c r="L37" s="73">
        <f t="shared" si="23"/>
        <v>41.130966813610712</v>
      </c>
      <c r="M37" s="75">
        <f>K32*((1.025)^20)</f>
        <v>43.160579132343749</v>
      </c>
      <c r="N37" s="73">
        <f>N32*((1.025)^16)</f>
        <v>43.011489944365444</v>
      </c>
      <c r="O37" s="73">
        <f t="shared" si="24"/>
        <v>45.244063494971783</v>
      </c>
      <c r="P37" s="73">
        <f>N32*((1.025)^20)</f>
        <v>47.47663704557813</v>
      </c>
      <c r="Q37" s="74">
        <f>Q32*((1.025)^16)</f>
        <v>47.31263893880201</v>
      </c>
      <c r="R37" s="73">
        <f t="shared" si="25"/>
        <v>49.768469844468989</v>
      </c>
      <c r="S37" s="75">
        <f>Q32*((1.025)^20)</f>
        <v>52.224300750135967</v>
      </c>
      <c r="U37" s="1">
        <v>7</v>
      </c>
      <c r="V37" s="46">
        <f t="shared" si="14"/>
        <v>22.053132037882875</v>
      </c>
      <c r="W37" s="46">
        <f t="shared" si="15"/>
        <v>25.875672336882008</v>
      </c>
      <c r="X37" s="46">
        <f t="shared" si="16"/>
        <v>28.463239570570213</v>
      </c>
      <c r="Y37" s="46">
        <f t="shared" si="17"/>
        <v>31.309563527627237</v>
      </c>
      <c r="Z37" s="46">
        <f t="shared" si="18"/>
        <v>34.440519880389964</v>
      </c>
      <c r="AA37" s="46">
        <f t="shared" si="19"/>
        <v>37.884571868428978</v>
      </c>
    </row>
    <row r="38" spans="1:27" ht="15" x14ac:dyDescent="0.25">
      <c r="A38" s="44"/>
      <c r="B38" s="36"/>
      <c r="C38" s="46"/>
      <c r="D38" s="36"/>
      <c r="E38" s="81"/>
      <c r="F38" s="81"/>
      <c r="G38" s="81"/>
      <c r="H38" s="81"/>
      <c r="I38" s="73"/>
      <c r="J38" s="73"/>
      <c r="M38" s="40"/>
      <c r="P38" s="1"/>
      <c r="U38" s="1">
        <v>8</v>
      </c>
      <c r="V38" s="46">
        <f t="shared" si="14"/>
        <v>22.604460338829945</v>
      </c>
      <c r="W38" s="46">
        <f t="shared" si="15"/>
        <v>26.522564145304056</v>
      </c>
      <c r="X38" s="46">
        <f t="shared" si="16"/>
        <v>29.174820559834465</v>
      </c>
      <c r="Y38" s="46">
        <f t="shared" si="17"/>
        <v>32.092302615817914</v>
      </c>
      <c r="Z38" s="46">
        <f t="shared" si="18"/>
        <v>35.301532877399708</v>
      </c>
      <c r="AA38" s="46">
        <f t="shared" si="19"/>
        <v>38.831686165139701</v>
      </c>
    </row>
    <row r="39" spans="1:27" x14ac:dyDescent="0.2">
      <c r="O39" s="40"/>
      <c r="P39" s="1"/>
      <c r="U39" s="1">
        <v>9</v>
      </c>
      <c r="V39" s="46">
        <f t="shared" si="14"/>
        <v>23.169571847300691</v>
      </c>
      <c r="W39" s="46">
        <f t="shared" si="15"/>
        <v>27.185628248936656</v>
      </c>
      <c r="X39" s="46">
        <f t="shared" si="16"/>
        <v>29.904191073830326</v>
      </c>
      <c r="Y39" s="46">
        <f t="shared" si="17"/>
        <v>32.894610181213359</v>
      </c>
      <c r="Z39" s="46">
        <f t="shared" si="18"/>
        <v>36.184071199334696</v>
      </c>
      <c r="AA39" s="46">
        <f t="shared" si="19"/>
        <v>39.802478319268189</v>
      </c>
    </row>
    <row r="40" spans="1:27" x14ac:dyDescent="0.2">
      <c r="U40" s="1">
        <v>10</v>
      </c>
      <c r="V40" s="46">
        <f t="shared" si="14"/>
        <v>23.748811143483206</v>
      </c>
      <c r="W40" s="46">
        <f t="shared" si="15"/>
        <v>27.865268955160069</v>
      </c>
      <c r="X40" s="46">
        <f t="shared" si="16"/>
        <v>30.651795850676081</v>
      </c>
      <c r="Y40" s="46">
        <f t="shared" si="17"/>
        <v>33.716975435743691</v>
      </c>
      <c r="Z40" s="46">
        <f t="shared" si="18"/>
        <v>37.088672979318062</v>
      </c>
      <c r="AA40" s="46">
        <f t="shared" si="19"/>
        <v>40.797540277249894</v>
      </c>
    </row>
    <row r="41" spans="1:27" x14ac:dyDescent="0.2">
      <c r="U41" s="1">
        <v>11</v>
      </c>
      <c r="V41" s="46">
        <f t="shared" si="14"/>
        <v>24.342531422070284</v>
      </c>
      <c r="W41" s="46">
        <f t="shared" si="15"/>
        <v>28.561900679039066</v>
      </c>
      <c r="X41" s="46">
        <f t="shared" si="16"/>
        <v>31.41809074694298</v>
      </c>
      <c r="Y41" s="46">
        <f t="shared" si="17"/>
        <v>34.559899821637281</v>
      </c>
      <c r="Z41" s="46">
        <f t="shared" si="18"/>
        <v>38.015889803801009</v>
      </c>
      <c r="AA41" s="46">
        <f t="shared" si="19"/>
        <v>41.817478784181141</v>
      </c>
    </row>
    <row r="42" spans="1:27" x14ac:dyDescent="0.2">
      <c r="D42" s="83"/>
      <c r="U42" s="1">
        <v>12</v>
      </c>
      <c r="V42" s="46">
        <f t="shared" si="14"/>
        <v>24.95109470762204</v>
      </c>
      <c r="W42" s="46">
        <f t="shared" si="15"/>
        <v>29.27594819601504</v>
      </c>
      <c r="X42" s="46">
        <f t="shared" si="16"/>
        <v>32.203543015616553</v>
      </c>
      <c r="Y42" s="46">
        <f t="shared" si="17"/>
        <v>35.423897317178209</v>
      </c>
      <c r="Z42" s="46">
        <f t="shared" si="18"/>
        <v>38.966287048896028</v>
      </c>
      <c r="AA42" s="46">
        <f t="shared" si="19"/>
        <v>42.862915753785664</v>
      </c>
    </row>
    <row r="43" spans="1:27" x14ac:dyDescent="0.2">
      <c r="D43" s="83"/>
      <c r="G43" s="35"/>
      <c r="U43" s="1">
        <v>13</v>
      </c>
      <c r="V43" s="46">
        <f t="shared" si="14"/>
        <v>25.574872075312591</v>
      </c>
      <c r="W43" s="46">
        <f t="shared" si="15"/>
        <v>30.007846900915414</v>
      </c>
      <c r="X43" s="46">
        <f t="shared" si="16"/>
        <v>33.008631591006967</v>
      </c>
      <c r="Y43" s="46">
        <f t="shared" si="17"/>
        <v>36.30949475010766</v>
      </c>
      <c r="Z43" s="46">
        <f t="shared" si="18"/>
        <v>39.940444225118426</v>
      </c>
      <c r="AA43" s="46">
        <f t="shared" si="19"/>
        <v>43.934488647630303</v>
      </c>
    </row>
    <row r="44" spans="1:27" x14ac:dyDescent="0.2">
      <c r="D44" s="83"/>
      <c r="U44" s="1">
        <v>14</v>
      </c>
      <c r="V44" s="46">
        <f t="shared" si="14"/>
        <v>26.214243877195404</v>
      </c>
      <c r="W44" s="46">
        <f t="shared" si="15"/>
        <v>30.758043073438298</v>
      </c>
      <c r="X44" s="46">
        <f t="shared" si="16"/>
        <v>33.833847380782139</v>
      </c>
      <c r="Y44" s="46">
        <f t="shared" si="17"/>
        <v>37.217232118860352</v>
      </c>
      <c r="Z44" s="46">
        <f t="shared" si="18"/>
        <v>40.938955330746381</v>
      </c>
      <c r="AA44" s="46">
        <f t="shared" si="19"/>
        <v>45.032850863821054</v>
      </c>
    </row>
    <row r="45" spans="1:27" x14ac:dyDescent="0.2">
      <c r="U45" s="1">
        <v>15</v>
      </c>
      <c r="V45" s="46">
        <f t="shared" si="14"/>
        <v>26.869599974125286</v>
      </c>
      <c r="W45" s="46">
        <f t="shared" si="15"/>
        <v>31.526994150274252</v>
      </c>
      <c r="X45" s="46">
        <f t="shared" si="16"/>
        <v>34.67969356530169</v>
      </c>
      <c r="Y45" s="46">
        <f t="shared" si="17"/>
        <v>38.147662921831859</v>
      </c>
      <c r="Z45" s="46">
        <f t="shared" si="18"/>
        <v>41.962429214015039</v>
      </c>
      <c r="AA45" s="46">
        <f t="shared" si="19"/>
        <v>46.158672135416573</v>
      </c>
    </row>
    <row r="46" spans="1:27" x14ac:dyDescent="0.2">
      <c r="U46" s="1">
        <v>16</v>
      </c>
      <c r="V46" s="46">
        <f t="shared" si="14"/>
        <v>27.541339973478415</v>
      </c>
      <c r="W46" s="46">
        <f t="shared" si="15"/>
        <v>32.315169004031105</v>
      </c>
      <c r="X46" s="46">
        <f t="shared" si="16"/>
        <v>35.546685904434227</v>
      </c>
      <c r="Y46" s="46">
        <f t="shared" si="17"/>
        <v>39.101354494877654</v>
      </c>
      <c r="Z46" s="46">
        <f t="shared" si="18"/>
        <v>43.011489944365408</v>
      </c>
      <c r="AA46" s="46">
        <f t="shared" si="19"/>
        <v>47.312638938801982</v>
      </c>
    </row>
    <row r="47" spans="1:27" x14ac:dyDescent="0.2">
      <c r="U47" s="1">
        <v>17</v>
      </c>
      <c r="V47" s="46">
        <f t="shared" si="14"/>
        <v>28.229873472815374</v>
      </c>
      <c r="W47" s="46">
        <f t="shared" si="15"/>
        <v>33.123048229131882</v>
      </c>
      <c r="X47" s="46">
        <f t="shared" si="16"/>
        <v>36.43535305204508</v>
      </c>
      <c r="Y47" s="46">
        <f t="shared" si="17"/>
        <v>40.078888357249589</v>
      </c>
      <c r="Z47" s="46">
        <f t="shared" si="18"/>
        <v>44.086777192974537</v>
      </c>
      <c r="AA47" s="46">
        <f t="shared" si="19"/>
        <v>48.495454912272024</v>
      </c>
    </row>
    <row r="48" spans="1:27" x14ac:dyDescent="0.2">
      <c r="U48" s="1">
        <v>18</v>
      </c>
      <c r="V48" s="46">
        <f t="shared" si="14"/>
        <v>28.935620309635755</v>
      </c>
      <c r="W48" s="46">
        <f t="shared" si="15"/>
        <v>33.951124434860176</v>
      </c>
      <c r="X48" s="46">
        <f t="shared" si="16"/>
        <v>37.346236878346204</v>
      </c>
      <c r="Y48" s="46">
        <f t="shared" si="17"/>
        <v>41.080860566180824</v>
      </c>
      <c r="Z48" s="46">
        <f t="shared" si="18"/>
        <v>45.188946622798895</v>
      </c>
      <c r="AA48" s="46">
        <f t="shared" si="19"/>
        <v>49.707841285078821</v>
      </c>
    </row>
    <row r="49" spans="21:27" x14ac:dyDescent="0.2">
      <c r="U49" s="1">
        <v>19</v>
      </c>
      <c r="V49" s="46">
        <f t="shared" si="14"/>
        <v>29.659010817376647</v>
      </c>
      <c r="W49" s="46">
        <f t="shared" si="15"/>
        <v>34.799902545731676</v>
      </c>
      <c r="X49" s="46">
        <f t="shared" si="16"/>
        <v>38.279892800304857</v>
      </c>
      <c r="Y49" s="46">
        <f t="shared" si="17"/>
        <v>42.107882080335344</v>
      </c>
      <c r="Z49" s="46">
        <f t="shared" si="18"/>
        <v>46.318670288368864</v>
      </c>
      <c r="AA49" s="46">
        <f t="shared" si="19"/>
        <v>50.950537317205786</v>
      </c>
    </row>
    <row r="50" spans="21:27" x14ac:dyDescent="0.2">
      <c r="U50" s="1">
        <v>20</v>
      </c>
      <c r="V50" s="46">
        <f t="shared" si="14"/>
        <v>30.400486087811061</v>
      </c>
      <c r="W50" s="46">
        <f t="shared" si="15"/>
        <v>35.669900109374964</v>
      </c>
      <c r="X50" s="46">
        <f t="shared" si="16"/>
        <v>39.236890120312474</v>
      </c>
      <c r="Y50" s="46">
        <f t="shared" si="17"/>
        <v>43.16057913234372</v>
      </c>
      <c r="Z50" s="46">
        <f t="shared" si="18"/>
        <v>47.47663704557808</v>
      </c>
      <c r="AA50" s="46">
        <f t="shared" si="19"/>
        <v>52.224300750135924</v>
      </c>
    </row>
  </sheetData>
  <mergeCells count="48">
    <mergeCell ref="Q16:S16"/>
    <mergeCell ref="K15:M15"/>
    <mergeCell ref="N15:P15"/>
    <mergeCell ref="M4:M5"/>
    <mergeCell ref="A7:H7"/>
    <mergeCell ref="A9:H9"/>
    <mergeCell ref="A15:A17"/>
    <mergeCell ref="B15:D15"/>
    <mergeCell ref="B16:D16"/>
    <mergeCell ref="E16:G16"/>
    <mergeCell ref="H16:J16"/>
    <mergeCell ref="K16:M16"/>
    <mergeCell ref="N16:P16"/>
    <mergeCell ref="E15:G15"/>
    <mergeCell ref="H15:J15"/>
    <mergeCell ref="Q15:S15"/>
    <mergeCell ref="V28:AA28"/>
    <mergeCell ref="Q29:S29"/>
    <mergeCell ref="B30:D30"/>
    <mergeCell ref="E30:G30"/>
    <mergeCell ref="H30:J30"/>
    <mergeCell ref="K30:M30"/>
    <mergeCell ref="N30:P30"/>
    <mergeCell ref="Q30:S30"/>
    <mergeCell ref="N29:P29"/>
    <mergeCell ref="A29:A31"/>
    <mergeCell ref="B29:D29"/>
    <mergeCell ref="E29:G29"/>
    <mergeCell ref="H29:J29"/>
    <mergeCell ref="K29:M29"/>
    <mergeCell ref="A1:R1"/>
    <mergeCell ref="A3:A5"/>
    <mergeCell ref="B3:C3"/>
    <mergeCell ref="D3:E3"/>
    <mergeCell ref="K3:L3"/>
    <mergeCell ref="K4:L4"/>
    <mergeCell ref="V3:AA3"/>
    <mergeCell ref="B4:B5"/>
    <mergeCell ref="C4:C5"/>
    <mergeCell ref="D4:D5"/>
    <mergeCell ref="E4:E5"/>
    <mergeCell ref="F4:F5"/>
    <mergeCell ref="I3:J3"/>
    <mergeCell ref="O4:O5"/>
    <mergeCell ref="N4:N5"/>
    <mergeCell ref="G4:G5"/>
    <mergeCell ref="H4:H5"/>
    <mergeCell ref="I4:J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A59A7-AE32-471B-B396-13D951185F2F}">
  <sheetPr>
    <tabColor rgb="FF609191"/>
  </sheetPr>
  <dimension ref="A1:AH12"/>
  <sheetViews>
    <sheetView zoomScaleNormal="100" workbookViewId="0">
      <selection activeCell="E6" sqref="E6:F1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347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3" spans="1:26" ht="20.25" x14ac:dyDescent="0.3">
      <c r="A3" s="172"/>
      <c r="B3" s="172"/>
      <c r="C3" s="172"/>
      <c r="D3" s="172"/>
      <c r="E3" s="172"/>
      <c r="F3" s="172"/>
      <c r="G3" s="172"/>
      <c r="H3" s="172"/>
      <c r="I3" s="172"/>
      <c r="J3" s="172"/>
      <c r="K3" s="172"/>
      <c r="L3" s="172"/>
      <c r="M3" s="172"/>
      <c r="N3" s="172"/>
      <c r="O3" s="172"/>
    </row>
    <row r="4" spans="1:26" ht="15.75" x14ac:dyDescent="0.25">
      <c r="A4" s="314" t="s">
        <v>154</v>
      </c>
      <c r="B4" s="314"/>
      <c r="C4" s="314"/>
      <c r="E4" s="314" t="s">
        <v>155</v>
      </c>
      <c r="F4" s="314"/>
      <c r="G4" s="314"/>
      <c r="I4" s="314" t="s">
        <v>156</v>
      </c>
      <c r="J4" s="314"/>
      <c r="K4" s="314"/>
      <c r="M4" s="34" t="s">
        <v>157</v>
      </c>
      <c r="N4" s="34"/>
      <c r="O4" s="34"/>
    </row>
    <row r="5" spans="1:26" x14ac:dyDescent="0.25">
      <c r="A5" s="16" t="s">
        <v>158</v>
      </c>
      <c r="B5" s="16" t="s">
        <v>159</v>
      </c>
      <c r="C5" s="16" t="s">
        <v>160</v>
      </c>
      <c r="E5" s="16" t="s">
        <v>158</v>
      </c>
      <c r="F5" s="16" t="s">
        <v>159</v>
      </c>
      <c r="G5" s="16" t="s">
        <v>160</v>
      </c>
      <c r="I5" s="25" t="s">
        <v>161</v>
      </c>
      <c r="J5" s="16" t="s">
        <v>159</v>
      </c>
      <c r="K5" s="16" t="s">
        <v>160</v>
      </c>
      <c r="M5" s="25" t="s">
        <v>162</v>
      </c>
      <c r="N5" s="16" t="s">
        <v>159</v>
      </c>
      <c r="O5" s="16" t="s">
        <v>160</v>
      </c>
    </row>
    <row r="6" spans="1:26" x14ac:dyDescent="0.25">
      <c r="A6" s="17" t="s">
        <v>163</v>
      </c>
      <c r="B6" s="18">
        <v>225</v>
      </c>
      <c r="C6" s="19">
        <v>7.2554899874238176E-3</v>
      </c>
      <c r="E6" s="23" t="s">
        <v>164</v>
      </c>
      <c r="F6" s="18">
        <f>G6*31011</f>
        <v>1302.462</v>
      </c>
      <c r="G6" s="19">
        <v>4.2000000000000003E-2</v>
      </c>
      <c r="I6" s="23" t="s">
        <v>165</v>
      </c>
      <c r="J6" s="18">
        <v>24555</v>
      </c>
      <c r="K6" s="19">
        <v>0.79181580729418588</v>
      </c>
      <c r="M6" s="23" t="s">
        <v>166</v>
      </c>
      <c r="N6" s="18">
        <v>2672</v>
      </c>
      <c r="O6" s="19">
        <v>8.6162974428428615E-2</v>
      </c>
    </row>
    <row r="7" spans="1:26" x14ac:dyDescent="0.25">
      <c r="A7" s="20" t="s">
        <v>167</v>
      </c>
      <c r="B7" s="21">
        <v>1925</v>
      </c>
      <c r="C7" s="22">
        <v>6.2074747670181549E-2</v>
      </c>
      <c r="E7" s="24" t="s">
        <v>168</v>
      </c>
      <c r="F7" s="18">
        <f t="shared" ref="F7:F12" si="0">G7*31011</f>
        <v>7969.8270000000002</v>
      </c>
      <c r="G7" s="19">
        <v>0.25700000000000001</v>
      </c>
      <c r="I7" s="24" t="s">
        <v>169</v>
      </c>
      <c r="J7" s="21">
        <v>3499</v>
      </c>
      <c r="K7" s="19">
        <v>0.11283093095998194</v>
      </c>
      <c r="M7" s="24" t="s">
        <v>170</v>
      </c>
      <c r="N7" s="21">
        <v>28339</v>
      </c>
      <c r="O7" s="22">
        <v>0.91383702557157143</v>
      </c>
    </row>
    <row r="8" spans="1:26" x14ac:dyDescent="0.25">
      <c r="A8" s="20" t="s">
        <v>171</v>
      </c>
      <c r="B8" s="21">
        <v>5132</v>
      </c>
      <c r="C8" s="22">
        <v>0.16548966495759571</v>
      </c>
      <c r="E8" s="24" t="s">
        <v>172</v>
      </c>
      <c r="F8" s="18">
        <f t="shared" si="0"/>
        <v>7566.6840000000002</v>
      </c>
      <c r="G8" s="19">
        <v>0.24399999999999999</v>
      </c>
      <c r="I8" s="24" t="s">
        <v>173</v>
      </c>
      <c r="J8" s="21">
        <v>1672</v>
      </c>
      <c r="K8" s="19">
        <v>5.3916352262100543E-2</v>
      </c>
    </row>
    <row r="9" spans="1:26" x14ac:dyDescent="0.25">
      <c r="A9" s="20" t="s">
        <v>174</v>
      </c>
      <c r="B9" s="21">
        <v>7878</v>
      </c>
      <c r="C9" s="22">
        <v>0.25403888942633257</v>
      </c>
      <c r="E9" s="24" t="s">
        <v>175</v>
      </c>
      <c r="F9" s="18">
        <f t="shared" si="0"/>
        <v>4465.5839999999998</v>
      </c>
      <c r="G9" s="19">
        <v>0.14399999999999999</v>
      </c>
      <c r="I9" s="24" t="s">
        <v>176</v>
      </c>
      <c r="J9" s="21">
        <v>721</v>
      </c>
      <c r="K9" s="19">
        <v>2.3249814581922542E-2</v>
      </c>
    </row>
    <row r="10" spans="1:26" x14ac:dyDescent="0.25">
      <c r="A10" s="20" t="s">
        <v>177</v>
      </c>
      <c r="B10" s="21">
        <v>8850</v>
      </c>
      <c r="C10" s="22">
        <v>0.28538260617200351</v>
      </c>
      <c r="E10" s="24" t="s">
        <v>178</v>
      </c>
      <c r="F10" s="18">
        <f t="shared" si="0"/>
        <v>7070.5079999999998</v>
      </c>
      <c r="G10" s="19">
        <v>0.22800000000000001</v>
      </c>
      <c r="I10" s="24" t="s">
        <v>179</v>
      </c>
      <c r="J10" s="21">
        <v>477</v>
      </c>
      <c r="K10" s="19">
        <v>1.5381638773338493E-2</v>
      </c>
    </row>
    <row r="11" spans="1:26" x14ac:dyDescent="0.25">
      <c r="A11" s="20" t="s">
        <v>180</v>
      </c>
      <c r="B11" s="21">
        <v>5573</v>
      </c>
      <c r="C11" s="22">
        <v>0.17971042533294637</v>
      </c>
      <c r="E11" s="24" t="s">
        <v>181</v>
      </c>
      <c r="F11" s="18">
        <f t="shared" si="0"/>
        <v>2201.7809999999999</v>
      </c>
      <c r="G11" s="19">
        <v>7.0999999999999994E-2</v>
      </c>
      <c r="I11" s="24" t="s">
        <v>182</v>
      </c>
      <c r="J11" s="21">
        <v>84</v>
      </c>
      <c r="K11" s="19">
        <v>2.7087162619715585E-3</v>
      </c>
    </row>
    <row r="12" spans="1:26" x14ac:dyDescent="0.25">
      <c r="A12" s="20" t="s">
        <v>183</v>
      </c>
      <c r="B12" s="21">
        <v>1428</v>
      </c>
      <c r="C12" s="22">
        <v>4.6048176453516491E-2</v>
      </c>
      <c r="E12" s="24" t="s">
        <v>184</v>
      </c>
      <c r="F12" s="18">
        <f t="shared" si="0"/>
        <v>434.154</v>
      </c>
      <c r="G12" s="19">
        <v>1.4E-2</v>
      </c>
      <c r="I12" s="24" t="s">
        <v>185</v>
      </c>
      <c r="J12" s="21">
        <v>3</v>
      </c>
      <c r="K12" s="19">
        <v>9.6739866498984228E-5</v>
      </c>
    </row>
  </sheetData>
  <mergeCells count="4">
    <mergeCell ref="A1:Z1"/>
    <mergeCell ref="A4:C4"/>
    <mergeCell ref="E4:G4"/>
    <mergeCell ref="I4:K4"/>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10F9B-68F0-4EEF-AEF3-BE1ACE27B0D0}">
  <sheetPr>
    <tabColor rgb="FF609191"/>
  </sheetPr>
  <dimension ref="A1:Z56"/>
  <sheetViews>
    <sheetView zoomScaleNormal="100" workbookViewId="0">
      <selection activeCell="C8" sqref="C8"/>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348</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349</v>
      </c>
      <c r="B4" s="318"/>
      <c r="C4" s="318"/>
      <c r="D4" s="318"/>
      <c r="E4" s="318"/>
      <c r="F4" s="318"/>
      <c r="G4" s="318"/>
      <c r="H4" s="318"/>
    </row>
    <row r="5" spans="1:26" ht="36" customHeight="1" x14ac:dyDescent="0.25">
      <c r="A5" s="316" t="s">
        <v>188</v>
      </c>
      <c r="B5" s="317" t="s">
        <v>189</v>
      </c>
      <c r="C5" s="317" t="s">
        <v>190</v>
      </c>
      <c r="D5" s="317" t="s">
        <v>350</v>
      </c>
      <c r="E5" s="317" t="s">
        <v>192</v>
      </c>
      <c r="F5" s="317"/>
      <c r="G5" s="317" t="s">
        <v>193</v>
      </c>
      <c r="H5" s="317"/>
      <c r="P5"/>
      <c r="R5" s="10"/>
    </row>
    <row r="6" spans="1:26" ht="15.75" thickBot="1" x14ac:dyDescent="0.3">
      <c r="A6" s="316"/>
      <c r="B6" s="317"/>
      <c r="C6" s="317"/>
      <c r="D6" s="319"/>
      <c r="E6" s="163" t="s">
        <v>194</v>
      </c>
      <c r="F6" s="163" t="s">
        <v>195</v>
      </c>
      <c r="G6" s="163" t="s">
        <v>194</v>
      </c>
      <c r="H6" s="163" t="s">
        <v>195</v>
      </c>
      <c r="P6"/>
      <c r="R6" s="10"/>
    </row>
    <row r="7" spans="1:26" ht="15.75" thickBot="1" x14ac:dyDescent="0.3">
      <c r="A7" s="198" t="s">
        <v>351</v>
      </c>
      <c r="B7" s="199">
        <v>1</v>
      </c>
      <c r="C7" s="200">
        <v>14.09</v>
      </c>
      <c r="D7" s="201" t="s">
        <v>59</v>
      </c>
      <c r="E7" s="202">
        <f t="shared" ref="E7:E12" si="0">W19-B19</f>
        <v>-8164</v>
      </c>
      <c r="F7" s="203">
        <f t="shared" ref="F7:F12" si="1">W29</f>
        <v>-0.20839821314613913</v>
      </c>
      <c r="G7" s="204">
        <f t="shared" ref="G7:G12" si="2">S38-B38</f>
        <v>3.4599999999999991</v>
      </c>
      <c r="H7" s="205">
        <f t="shared" ref="H7:H12" si="3">S48</f>
        <v>0.32549388523047967</v>
      </c>
      <c r="P7"/>
      <c r="R7" s="10"/>
    </row>
    <row r="8" spans="1:26" ht="15.75" thickTop="1" x14ac:dyDescent="0.25">
      <c r="A8" s="179" t="s">
        <v>198</v>
      </c>
      <c r="B8" s="165">
        <v>0.95</v>
      </c>
      <c r="C8" s="186">
        <v>20.97</v>
      </c>
      <c r="D8" s="188">
        <f>C8-16.03</f>
        <v>4.9399999999999977</v>
      </c>
      <c r="E8" s="175">
        <f t="shared" si="0"/>
        <v>3773</v>
      </c>
      <c r="F8" s="174">
        <f t="shared" si="1"/>
        <v>0.64728083719334362</v>
      </c>
      <c r="G8" s="176">
        <f t="shared" si="2"/>
        <v>5.3299999999999983</v>
      </c>
      <c r="H8" s="178">
        <f t="shared" si="3"/>
        <v>0.3407928388746802</v>
      </c>
      <c r="P8"/>
      <c r="R8" s="10"/>
    </row>
    <row r="9" spans="1:26" x14ac:dyDescent="0.25">
      <c r="A9" s="179" t="s">
        <v>352</v>
      </c>
      <c r="B9" s="165">
        <v>0.95</v>
      </c>
      <c r="C9" s="186">
        <v>15.09</v>
      </c>
      <c r="D9" s="221">
        <f>C9-16.03</f>
        <v>-0.94000000000000128</v>
      </c>
      <c r="E9" s="175">
        <f t="shared" si="0"/>
        <v>2701</v>
      </c>
      <c r="F9" s="174">
        <f t="shared" si="1"/>
        <v>0.70892388451443566</v>
      </c>
      <c r="G9" s="176">
        <f t="shared" si="2"/>
        <v>0.1899999999999995</v>
      </c>
      <c r="H9" s="178">
        <f t="shared" si="3"/>
        <v>1.275167785234896E-2</v>
      </c>
      <c r="P9"/>
      <c r="R9" s="10"/>
    </row>
    <row r="10" spans="1:26" x14ac:dyDescent="0.25">
      <c r="A10" s="179" t="s">
        <v>197</v>
      </c>
      <c r="B10" s="165">
        <v>0.94</v>
      </c>
      <c r="C10" s="186">
        <v>29.86</v>
      </c>
      <c r="D10" s="188">
        <f>C10-16.03</f>
        <v>13.829999999999998</v>
      </c>
      <c r="E10" s="175">
        <f t="shared" si="0"/>
        <v>-2729</v>
      </c>
      <c r="F10" s="174">
        <f t="shared" si="1"/>
        <v>-0.69706257982120046</v>
      </c>
      <c r="G10" s="176">
        <f t="shared" si="2"/>
        <v>6.3299999999999983</v>
      </c>
      <c r="H10" s="178">
        <f t="shared" si="3"/>
        <v>0.26901827454313632</v>
      </c>
      <c r="P10"/>
      <c r="R10" s="10"/>
    </row>
    <row r="11" spans="1:26" x14ac:dyDescent="0.25">
      <c r="A11" s="179" t="s">
        <v>353</v>
      </c>
      <c r="B11" s="165">
        <v>0.92</v>
      </c>
      <c r="C11" s="186">
        <v>19.28</v>
      </c>
      <c r="D11" s="188">
        <f>C11-16.03</f>
        <v>3.25</v>
      </c>
      <c r="E11" s="175">
        <f t="shared" si="0"/>
        <v>-10184</v>
      </c>
      <c r="F11" s="174">
        <f t="shared" si="1"/>
        <v>-0.18745743368858947</v>
      </c>
      <c r="G11" s="176">
        <f t="shared" si="2"/>
        <v>5.6700000000000017</v>
      </c>
      <c r="H11" s="178">
        <f t="shared" si="3"/>
        <v>0.41660543717854531</v>
      </c>
      <c r="P11"/>
      <c r="R11" s="10"/>
    </row>
    <row r="12" spans="1:26" ht="15.75" thickBot="1" x14ac:dyDescent="0.3">
      <c r="A12" s="180" t="s">
        <v>354</v>
      </c>
      <c r="B12" s="181">
        <v>0.92</v>
      </c>
      <c r="C12" s="187">
        <v>17.98</v>
      </c>
      <c r="D12" s="189">
        <f>C12-16.03</f>
        <v>1.9499999999999993</v>
      </c>
      <c r="E12" s="182">
        <f t="shared" si="0"/>
        <v>16507</v>
      </c>
      <c r="F12" s="183">
        <f t="shared" si="1"/>
        <v>0.2428642890772128</v>
      </c>
      <c r="G12" s="184">
        <f t="shared" si="2"/>
        <v>3.7100000000000009</v>
      </c>
      <c r="H12" s="185">
        <f t="shared" si="3"/>
        <v>0.2599859845830414</v>
      </c>
      <c r="P12"/>
      <c r="R12" s="10"/>
    </row>
    <row r="13" spans="1:26" x14ac:dyDescent="0.25">
      <c r="A13" s="1"/>
      <c r="B13" s="35"/>
      <c r="C13" s="36"/>
      <c r="D13" s="36"/>
    </row>
    <row r="14" spans="1:26" x14ac:dyDescent="0.25">
      <c r="G14" s="219"/>
    </row>
    <row r="17" spans="1:26" ht="15.75" x14ac:dyDescent="0.25">
      <c r="A17" s="315" t="s">
        <v>355</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90" t="s">
        <v>188</v>
      </c>
      <c r="B18" s="191">
        <v>2001</v>
      </c>
      <c r="C18" s="191">
        <v>2002</v>
      </c>
      <c r="D18" s="191">
        <v>2003</v>
      </c>
      <c r="E18" s="191">
        <v>2004</v>
      </c>
      <c r="F18" s="191">
        <v>2005</v>
      </c>
      <c r="G18" s="191">
        <v>2006</v>
      </c>
      <c r="H18" s="191">
        <v>2007</v>
      </c>
      <c r="I18" s="191">
        <v>2008</v>
      </c>
      <c r="J18" s="191">
        <v>2009</v>
      </c>
      <c r="K18" s="191">
        <v>2010</v>
      </c>
      <c r="L18" s="191">
        <v>2011</v>
      </c>
      <c r="M18" s="191">
        <v>2012</v>
      </c>
      <c r="N18" s="191">
        <v>2013</v>
      </c>
      <c r="O18" s="191">
        <v>2014</v>
      </c>
      <c r="P18" s="191">
        <v>2015</v>
      </c>
      <c r="Q18" s="191">
        <v>2016</v>
      </c>
      <c r="R18" s="191">
        <v>2017</v>
      </c>
      <c r="S18" s="191">
        <v>2018</v>
      </c>
      <c r="T18" s="191">
        <v>2019</v>
      </c>
      <c r="U18" s="191">
        <v>2020</v>
      </c>
      <c r="V18" s="191">
        <v>2021</v>
      </c>
      <c r="W18" s="191">
        <v>2022</v>
      </c>
    </row>
    <row r="19" spans="1:26" ht="15.75" thickBot="1" x14ac:dyDescent="0.3">
      <c r="A19" s="166" t="s">
        <v>351</v>
      </c>
      <c r="B19" s="167">
        <v>39175</v>
      </c>
      <c r="C19" s="167">
        <v>39517</v>
      </c>
      <c r="D19" s="167">
        <v>39036</v>
      </c>
      <c r="E19" s="167">
        <v>38515</v>
      </c>
      <c r="F19" s="167">
        <v>38152</v>
      </c>
      <c r="G19" s="167">
        <v>37570</v>
      </c>
      <c r="H19" s="167">
        <v>36910</v>
      </c>
      <c r="I19" s="167">
        <v>36369</v>
      </c>
      <c r="J19" s="167">
        <v>35963</v>
      </c>
      <c r="K19" s="167">
        <v>36337</v>
      </c>
      <c r="L19" s="167">
        <v>36405</v>
      </c>
      <c r="M19" s="167">
        <v>34590</v>
      </c>
      <c r="N19" s="167">
        <v>34140</v>
      </c>
      <c r="O19" s="167">
        <v>32859</v>
      </c>
      <c r="P19" s="167">
        <v>32993</v>
      </c>
      <c r="Q19" s="167">
        <v>32689</v>
      </c>
      <c r="R19" s="167">
        <v>32825</v>
      </c>
      <c r="S19" s="167">
        <v>33760</v>
      </c>
      <c r="T19" s="167">
        <v>33750</v>
      </c>
      <c r="U19" s="167">
        <v>30723</v>
      </c>
      <c r="V19" s="167">
        <v>29755</v>
      </c>
      <c r="W19" s="167">
        <v>31011</v>
      </c>
    </row>
    <row r="20" spans="1:26" ht="15.75" thickTop="1" x14ac:dyDescent="0.25">
      <c r="A20" s="143" t="s">
        <v>198</v>
      </c>
      <c r="B20" s="144">
        <v>5829</v>
      </c>
      <c r="C20" s="144">
        <v>6138</v>
      </c>
      <c r="D20" s="144">
        <v>6453</v>
      </c>
      <c r="E20" s="144">
        <v>6646</v>
      </c>
      <c r="F20" s="144">
        <v>7035</v>
      </c>
      <c r="G20" s="144">
        <v>7189</v>
      </c>
      <c r="H20" s="144">
        <v>7475</v>
      </c>
      <c r="I20" s="144">
        <v>7517</v>
      </c>
      <c r="J20" s="144">
        <v>7177</v>
      </c>
      <c r="K20" s="144">
        <v>7051</v>
      </c>
      <c r="L20" s="144">
        <v>7518</v>
      </c>
      <c r="M20" s="144">
        <v>7607</v>
      </c>
      <c r="N20" s="144">
        <v>7701</v>
      </c>
      <c r="O20" s="144">
        <v>7814</v>
      </c>
      <c r="P20" s="144">
        <v>8026</v>
      </c>
      <c r="Q20" s="144">
        <v>8359</v>
      </c>
      <c r="R20" s="144">
        <v>8936</v>
      </c>
      <c r="S20" s="144">
        <v>9115</v>
      </c>
      <c r="T20" s="144">
        <v>9381</v>
      </c>
      <c r="U20" s="144">
        <v>8454</v>
      </c>
      <c r="V20" s="144">
        <v>8722</v>
      </c>
      <c r="W20" s="144">
        <v>9602</v>
      </c>
    </row>
    <row r="21" spans="1:26" x14ac:dyDescent="0.25">
      <c r="A21" s="143" t="s">
        <v>352</v>
      </c>
      <c r="B21" s="144">
        <v>3810</v>
      </c>
      <c r="C21" s="144">
        <v>4112</v>
      </c>
      <c r="D21" s="144">
        <v>4428</v>
      </c>
      <c r="E21" s="144">
        <v>4624</v>
      </c>
      <c r="F21" s="144">
        <v>4866</v>
      </c>
      <c r="G21" s="144">
        <v>5157</v>
      </c>
      <c r="H21" s="144">
        <v>5023</v>
      </c>
      <c r="I21" s="144">
        <v>4966</v>
      </c>
      <c r="J21" s="144">
        <v>4996</v>
      </c>
      <c r="K21" s="144">
        <v>5029</v>
      </c>
      <c r="L21" s="144">
        <v>5507</v>
      </c>
      <c r="M21" s="144">
        <v>5737</v>
      </c>
      <c r="N21" s="144">
        <v>5543</v>
      </c>
      <c r="O21" s="144">
        <v>5363</v>
      </c>
      <c r="P21" s="144">
        <v>5310</v>
      </c>
      <c r="Q21" s="144">
        <v>5511</v>
      </c>
      <c r="R21" s="144">
        <v>5684</v>
      </c>
      <c r="S21" s="144">
        <v>5878</v>
      </c>
      <c r="T21" s="144">
        <v>5854</v>
      </c>
      <c r="U21" s="144">
        <v>5448</v>
      </c>
      <c r="V21" s="144">
        <v>5673</v>
      </c>
      <c r="W21" s="144">
        <v>6511</v>
      </c>
    </row>
    <row r="22" spans="1:26" x14ac:dyDescent="0.25">
      <c r="A22" s="143" t="s">
        <v>197</v>
      </c>
      <c r="B22" s="146">
        <v>3915</v>
      </c>
      <c r="C22" s="146">
        <v>3934</v>
      </c>
      <c r="D22" s="146">
        <v>3857</v>
      </c>
      <c r="E22" s="146">
        <v>3783</v>
      </c>
      <c r="F22" s="146">
        <v>3769</v>
      </c>
      <c r="G22" s="146">
        <v>3011</v>
      </c>
      <c r="H22" s="146">
        <v>2784</v>
      </c>
      <c r="I22" s="146">
        <v>2706</v>
      </c>
      <c r="J22" s="146">
        <v>2858</v>
      </c>
      <c r="K22" s="146">
        <v>2798</v>
      </c>
      <c r="L22" s="146">
        <v>2720</v>
      </c>
      <c r="M22" s="146">
        <v>2659</v>
      </c>
      <c r="N22" s="146">
        <v>2658</v>
      </c>
      <c r="O22" s="146">
        <v>2714</v>
      </c>
      <c r="P22" s="146">
        <v>2502</v>
      </c>
      <c r="Q22" s="146">
        <v>2130</v>
      </c>
      <c r="R22" s="146">
        <v>1750</v>
      </c>
      <c r="S22" s="146">
        <v>1559</v>
      </c>
      <c r="T22" s="146">
        <v>1422</v>
      </c>
      <c r="U22" s="146">
        <v>1252</v>
      </c>
      <c r="V22" s="146">
        <v>1200</v>
      </c>
      <c r="W22" s="146">
        <v>1186</v>
      </c>
    </row>
    <row r="23" spans="1:26" x14ac:dyDescent="0.25">
      <c r="A23" s="179" t="s">
        <v>353</v>
      </c>
      <c r="B23" s="146">
        <v>54327</v>
      </c>
      <c r="C23" s="146">
        <v>54837</v>
      </c>
      <c r="D23" s="146">
        <v>55248</v>
      </c>
      <c r="E23" s="146">
        <v>55562</v>
      </c>
      <c r="F23" s="146">
        <v>55968</v>
      </c>
      <c r="G23" s="146">
        <v>52810</v>
      </c>
      <c r="H23" s="146">
        <v>52793</v>
      </c>
      <c r="I23" s="146">
        <v>52263</v>
      </c>
      <c r="J23" s="146">
        <v>49101</v>
      </c>
      <c r="K23" s="146">
        <v>50598</v>
      </c>
      <c r="L23" s="146">
        <v>54528</v>
      </c>
      <c r="M23" s="146">
        <v>59165</v>
      </c>
      <c r="N23" s="146">
        <v>61314</v>
      </c>
      <c r="O23" s="146">
        <v>63256</v>
      </c>
      <c r="P23" s="146">
        <v>65513</v>
      </c>
      <c r="Q23" s="146">
        <v>66905</v>
      </c>
      <c r="R23" s="146">
        <v>64465</v>
      </c>
      <c r="S23" s="146">
        <v>59305</v>
      </c>
      <c r="T23" s="146">
        <v>52894</v>
      </c>
      <c r="U23" s="146">
        <v>44987</v>
      </c>
      <c r="V23" s="146">
        <v>44158</v>
      </c>
      <c r="W23" s="146">
        <v>44143</v>
      </c>
    </row>
    <row r="24" spans="1:26" x14ac:dyDescent="0.25">
      <c r="A24" s="143" t="s">
        <v>354</v>
      </c>
      <c r="B24" s="146">
        <v>67968</v>
      </c>
      <c r="C24" s="146">
        <v>67468</v>
      </c>
      <c r="D24" s="146">
        <v>67795</v>
      </c>
      <c r="E24" s="146">
        <v>67998</v>
      </c>
      <c r="F24" s="146">
        <v>68527</v>
      </c>
      <c r="G24" s="146">
        <v>69315</v>
      </c>
      <c r="H24" s="146">
        <v>68778</v>
      </c>
      <c r="I24" s="146">
        <v>68499</v>
      </c>
      <c r="J24" s="146">
        <v>66009</v>
      </c>
      <c r="K24" s="146">
        <v>70055</v>
      </c>
      <c r="L24" s="146">
        <v>74111</v>
      </c>
      <c r="M24" s="146">
        <v>77189</v>
      </c>
      <c r="N24" s="146">
        <v>79363</v>
      </c>
      <c r="O24" s="146">
        <v>82534</v>
      </c>
      <c r="P24" s="146">
        <v>84609</v>
      </c>
      <c r="Q24" s="146">
        <v>87635</v>
      </c>
      <c r="R24" s="146">
        <v>88436</v>
      </c>
      <c r="S24" s="146">
        <v>90288</v>
      </c>
      <c r="T24" s="146">
        <v>89880</v>
      </c>
      <c r="U24" s="146">
        <v>83118</v>
      </c>
      <c r="V24" s="146">
        <v>82563</v>
      </c>
      <c r="W24" s="146">
        <v>84475</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356</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90" t="s">
        <v>188</v>
      </c>
      <c r="B28" s="191">
        <v>2001</v>
      </c>
      <c r="C28" s="191">
        <v>2002</v>
      </c>
      <c r="D28" s="191">
        <v>2003</v>
      </c>
      <c r="E28" s="191">
        <v>2004</v>
      </c>
      <c r="F28" s="191">
        <v>2005</v>
      </c>
      <c r="G28" s="191">
        <v>2006</v>
      </c>
      <c r="H28" s="191">
        <v>2007</v>
      </c>
      <c r="I28" s="191">
        <v>2008</v>
      </c>
      <c r="J28" s="191">
        <v>2009</v>
      </c>
      <c r="K28" s="191">
        <v>2010</v>
      </c>
      <c r="L28" s="191">
        <v>2011</v>
      </c>
      <c r="M28" s="191">
        <v>2012</v>
      </c>
      <c r="N28" s="191">
        <v>2013</v>
      </c>
      <c r="O28" s="191">
        <v>2014</v>
      </c>
      <c r="P28" s="191">
        <v>2015</v>
      </c>
      <c r="Q28" s="191">
        <v>2016</v>
      </c>
      <c r="R28" s="191">
        <v>2017</v>
      </c>
      <c r="S28" s="191">
        <v>2018</v>
      </c>
      <c r="T28" s="191">
        <v>2019</v>
      </c>
      <c r="U28" s="191">
        <v>2020</v>
      </c>
      <c r="V28" s="191">
        <v>2021</v>
      </c>
      <c r="W28" s="191">
        <v>2022</v>
      </c>
    </row>
    <row r="29" spans="1:26" ht="15.75" thickBot="1" x14ac:dyDescent="0.3">
      <c r="A29" s="166" t="s">
        <v>351</v>
      </c>
      <c r="B29" s="168">
        <f t="shared" ref="B29:B34" si="4">(B19-B19)/B19</f>
        <v>0</v>
      </c>
      <c r="C29" s="168">
        <f t="shared" ref="C29:C34" si="5">(C19-B19)/B19</f>
        <v>8.7300574345883855E-3</v>
      </c>
      <c r="D29" s="168">
        <f t="shared" ref="D29:D34" si="6">(D19-B19)/B19</f>
        <v>-3.5481812380344607E-3</v>
      </c>
      <c r="E29" s="168">
        <f t="shared" ref="E29:E34" si="7">(E19-B19)/B19</f>
        <v>-1.6847479259731971E-2</v>
      </c>
      <c r="F29" s="168">
        <f t="shared" ref="F29:F34" si="8">(F19-B19)/B19</f>
        <v>-2.6113592852584556E-2</v>
      </c>
      <c r="G29" s="168">
        <f t="shared" ref="G29:G34" si="9">(G19-B19)/B19</f>
        <v>-4.0970006381620933E-2</v>
      </c>
      <c r="H29" s="168">
        <f t="shared" ref="H29:H34" si="10">(H19-B19)/B19</f>
        <v>-5.7817485641352903E-2</v>
      </c>
      <c r="I29" s="168">
        <f t="shared" ref="I29:I34" si="11">(I19-B19)/B19</f>
        <v>-7.1627313337587747E-2</v>
      </c>
      <c r="J29" s="168">
        <f t="shared" ref="J29:J34" si="12">(J19-B19)/B19</f>
        <v>-8.1991065730695603E-2</v>
      </c>
      <c r="K29" s="168">
        <f t="shared" ref="K29:K34" si="13">(K19-B19)/B19</f>
        <v>-7.2444160816847486E-2</v>
      </c>
      <c r="L29" s="168">
        <f t="shared" ref="L29:L34" si="14">(L19-B19)/B19</f>
        <v>-7.0708359923420547E-2</v>
      </c>
      <c r="M29" s="168">
        <f t="shared" ref="M29:M34" si="15">(M19-B19)/B19</f>
        <v>-0.11703892788768347</v>
      </c>
      <c r="N29" s="168">
        <f t="shared" ref="N29:N34" si="16">(N19-B19)/B19</f>
        <v>-0.12852584556477345</v>
      </c>
      <c r="O29" s="168">
        <f t="shared" ref="O29:O34" si="17">(O19-B19)/B19</f>
        <v>-0.1612252712188896</v>
      </c>
      <c r="P29" s="168">
        <f t="shared" ref="P29:P34" si="18">(P19-B19)/B19</f>
        <v>-0.15780472239948948</v>
      </c>
      <c r="Q29" s="168">
        <f t="shared" ref="Q29:Q34" si="19">(Q19-B19)/B19</f>
        <v>-0.16556477345245693</v>
      </c>
      <c r="R29" s="168">
        <f t="shared" ref="R29:R34" si="20">(R19-B19)/B19</f>
        <v>-0.16209317166560305</v>
      </c>
      <c r="S29" s="168">
        <f t="shared" ref="S29:S34" si="21">(S19-B19)/B19</f>
        <v>-0.13822590938098278</v>
      </c>
      <c r="T29" s="168">
        <f t="shared" ref="T29:T34" si="22">(T19-B19)/B19</f>
        <v>-0.13848117421825143</v>
      </c>
      <c r="U29" s="168">
        <f t="shared" ref="U29:U34" si="23">(U19-B19)/B19</f>
        <v>-0.2157498404594767</v>
      </c>
      <c r="V29" s="168">
        <f t="shared" ref="V29:V34" si="24">(V19-B19)/B19</f>
        <v>-0.24045947670708359</v>
      </c>
      <c r="W29" s="168">
        <f t="shared" ref="W29:W34" si="25">(W19-B19)/B19</f>
        <v>-0.20839821314613913</v>
      </c>
      <c r="Y29" t="s">
        <v>352</v>
      </c>
      <c r="Z29" s="218">
        <v>0.1899999999999995</v>
      </c>
    </row>
    <row r="30" spans="1:26" ht="15.75" thickTop="1" x14ac:dyDescent="0.25">
      <c r="A30" s="143" t="s">
        <v>198</v>
      </c>
      <c r="B30" s="147">
        <f t="shared" si="4"/>
        <v>0</v>
      </c>
      <c r="C30" s="147">
        <f t="shared" si="5"/>
        <v>5.301080802882141E-2</v>
      </c>
      <c r="D30" s="147">
        <f t="shared" si="6"/>
        <v>0.10705095213587236</v>
      </c>
      <c r="E30" s="147">
        <f t="shared" si="7"/>
        <v>0.14016126265225595</v>
      </c>
      <c r="F30" s="147">
        <f t="shared" si="8"/>
        <v>0.20689655172413793</v>
      </c>
      <c r="G30" s="147">
        <f t="shared" si="9"/>
        <v>0.23331617773202951</v>
      </c>
      <c r="H30" s="147">
        <f t="shared" si="10"/>
        <v>0.28238119746097101</v>
      </c>
      <c r="I30" s="147">
        <f t="shared" si="11"/>
        <v>0.2895865500085778</v>
      </c>
      <c r="J30" s="147">
        <f t="shared" si="12"/>
        <v>0.23125750557557043</v>
      </c>
      <c r="K30" s="147">
        <f t="shared" si="13"/>
        <v>0.20964144793275005</v>
      </c>
      <c r="L30" s="147">
        <f t="shared" si="14"/>
        <v>0.28975810602161606</v>
      </c>
      <c r="M30" s="147">
        <f t="shared" si="15"/>
        <v>0.30502659118202091</v>
      </c>
      <c r="N30" s="147">
        <f t="shared" si="16"/>
        <v>0.32115285640761709</v>
      </c>
      <c r="O30" s="147">
        <f t="shared" si="17"/>
        <v>0.34053868588094011</v>
      </c>
      <c r="P30" s="147">
        <f t="shared" si="18"/>
        <v>0.37690856064505063</v>
      </c>
      <c r="Q30" s="147">
        <f t="shared" si="19"/>
        <v>0.4340367129867902</v>
      </c>
      <c r="R30" s="147">
        <f t="shared" si="20"/>
        <v>0.53302453250986448</v>
      </c>
      <c r="S30" s="147">
        <f t="shared" si="21"/>
        <v>0.5637330588437125</v>
      </c>
      <c r="T30" s="147">
        <f t="shared" si="22"/>
        <v>0.60936695831188881</v>
      </c>
      <c r="U30" s="147">
        <f t="shared" si="23"/>
        <v>0.45033453422542458</v>
      </c>
      <c r="V30" s="147">
        <f t="shared" si="24"/>
        <v>0.49631154571967745</v>
      </c>
      <c r="W30" s="147">
        <f t="shared" si="25"/>
        <v>0.64728083719334362</v>
      </c>
      <c r="Y30" t="s">
        <v>351</v>
      </c>
      <c r="Z30" s="218">
        <v>3.4599999999999991</v>
      </c>
    </row>
    <row r="31" spans="1:26" x14ac:dyDescent="0.25">
      <c r="A31" s="143" t="s">
        <v>352</v>
      </c>
      <c r="B31" s="147">
        <f t="shared" si="4"/>
        <v>0</v>
      </c>
      <c r="C31" s="147">
        <f t="shared" si="5"/>
        <v>7.9265091863517059E-2</v>
      </c>
      <c r="D31" s="147">
        <f t="shared" si="6"/>
        <v>0.16220472440944883</v>
      </c>
      <c r="E31" s="147">
        <f t="shared" si="7"/>
        <v>0.2136482939632546</v>
      </c>
      <c r="F31" s="147">
        <f t="shared" si="8"/>
        <v>0.27716535433070866</v>
      </c>
      <c r="G31" s="147">
        <f t="shared" si="9"/>
        <v>0.35354330708661419</v>
      </c>
      <c r="H31" s="147">
        <f t="shared" si="10"/>
        <v>0.31837270341207347</v>
      </c>
      <c r="I31" s="147">
        <f t="shared" si="11"/>
        <v>0.30341207349081367</v>
      </c>
      <c r="J31" s="147">
        <f t="shared" si="12"/>
        <v>0.31128608923884515</v>
      </c>
      <c r="K31" s="147">
        <f t="shared" si="13"/>
        <v>0.31994750656167981</v>
      </c>
      <c r="L31" s="147">
        <f t="shared" si="14"/>
        <v>0.44540682414698163</v>
      </c>
      <c r="M31" s="147">
        <f t="shared" si="15"/>
        <v>0.50577427821522314</v>
      </c>
      <c r="N31" s="147">
        <f t="shared" si="16"/>
        <v>0.4548556430446194</v>
      </c>
      <c r="O31" s="147">
        <f t="shared" si="17"/>
        <v>0.40761154855643045</v>
      </c>
      <c r="P31" s="147">
        <f t="shared" si="18"/>
        <v>0.39370078740157483</v>
      </c>
      <c r="Q31" s="147">
        <f t="shared" si="19"/>
        <v>0.4464566929133858</v>
      </c>
      <c r="R31" s="147">
        <f t="shared" si="20"/>
        <v>0.49186351706036746</v>
      </c>
      <c r="S31" s="147">
        <f t="shared" si="21"/>
        <v>0.54278215223097115</v>
      </c>
      <c r="T31" s="147">
        <f t="shared" si="22"/>
        <v>0.5364829396325459</v>
      </c>
      <c r="U31" s="147">
        <f t="shared" si="23"/>
        <v>0.42992125984251967</v>
      </c>
      <c r="V31" s="147">
        <f t="shared" si="24"/>
        <v>0.48897637795275589</v>
      </c>
      <c r="W31" s="147">
        <f t="shared" si="25"/>
        <v>0.70892388451443566</v>
      </c>
      <c r="Y31" t="s">
        <v>354</v>
      </c>
      <c r="Z31" s="218">
        <v>3.7100000000000009</v>
      </c>
    </row>
    <row r="32" spans="1:26" x14ac:dyDescent="0.25">
      <c r="A32" s="143" t="s">
        <v>197</v>
      </c>
      <c r="B32" s="147">
        <f t="shared" si="4"/>
        <v>0</v>
      </c>
      <c r="C32" s="147">
        <f t="shared" si="5"/>
        <v>4.8531289910600257E-3</v>
      </c>
      <c r="D32" s="147">
        <f t="shared" si="6"/>
        <v>-1.4814814814814815E-2</v>
      </c>
      <c r="E32" s="147">
        <f t="shared" si="7"/>
        <v>-3.3716475095785438E-2</v>
      </c>
      <c r="F32" s="147">
        <f t="shared" si="8"/>
        <v>-3.7292464878671779E-2</v>
      </c>
      <c r="G32" s="147">
        <f t="shared" si="9"/>
        <v>-0.23090676883780331</v>
      </c>
      <c r="H32" s="147">
        <f t="shared" si="10"/>
        <v>-0.28888888888888886</v>
      </c>
      <c r="I32" s="147">
        <f t="shared" si="11"/>
        <v>-0.30881226053639849</v>
      </c>
      <c r="J32" s="147">
        <f t="shared" si="12"/>
        <v>-0.26998722860791824</v>
      </c>
      <c r="K32" s="147">
        <f t="shared" si="13"/>
        <v>-0.28531289910600255</v>
      </c>
      <c r="L32" s="147">
        <f t="shared" si="14"/>
        <v>-0.30523627075351212</v>
      </c>
      <c r="M32" s="147">
        <f t="shared" si="15"/>
        <v>-0.32081736909323116</v>
      </c>
      <c r="N32" s="147">
        <f t="shared" si="16"/>
        <v>-0.3210727969348659</v>
      </c>
      <c r="O32" s="147">
        <f t="shared" si="17"/>
        <v>-0.30676883780332054</v>
      </c>
      <c r="P32" s="147">
        <f t="shared" si="18"/>
        <v>-0.36091954022988504</v>
      </c>
      <c r="Q32" s="147">
        <f t="shared" si="19"/>
        <v>-0.45593869731800768</v>
      </c>
      <c r="R32" s="147">
        <f t="shared" si="20"/>
        <v>-0.55300127713920821</v>
      </c>
      <c r="S32" s="147">
        <f t="shared" si="21"/>
        <v>-0.60178799489144319</v>
      </c>
      <c r="T32" s="147">
        <f t="shared" si="22"/>
        <v>-0.63678160919540228</v>
      </c>
      <c r="U32" s="147">
        <f t="shared" si="23"/>
        <v>-0.68020434227330784</v>
      </c>
      <c r="V32" s="147">
        <f t="shared" si="24"/>
        <v>-0.69348659003831414</v>
      </c>
      <c r="W32" s="147">
        <f t="shared" si="25"/>
        <v>-0.69706257982120046</v>
      </c>
      <c r="Y32" t="s">
        <v>198</v>
      </c>
      <c r="Z32" s="218">
        <v>5.3299999999999983</v>
      </c>
    </row>
    <row r="33" spans="1:26" x14ac:dyDescent="0.25">
      <c r="A33" s="179" t="s">
        <v>353</v>
      </c>
      <c r="B33" s="147">
        <f t="shared" si="4"/>
        <v>0</v>
      </c>
      <c r="C33" s="147">
        <f t="shared" si="5"/>
        <v>9.3875973272958199E-3</v>
      </c>
      <c r="D33" s="147">
        <f t="shared" si="6"/>
        <v>1.6952896349881275E-2</v>
      </c>
      <c r="E33" s="147">
        <f t="shared" si="7"/>
        <v>2.2732711174922229E-2</v>
      </c>
      <c r="F33" s="147">
        <f t="shared" si="8"/>
        <v>3.0205974929593021E-2</v>
      </c>
      <c r="G33" s="147">
        <f t="shared" si="9"/>
        <v>-2.7923500285309332E-2</v>
      </c>
      <c r="H33" s="147">
        <f t="shared" si="10"/>
        <v>-2.8236420196219192E-2</v>
      </c>
      <c r="I33" s="147">
        <f t="shared" si="11"/>
        <v>-3.7992158595173672E-2</v>
      </c>
      <c r="J33" s="147">
        <f t="shared" si="12"/>
        <v>-9.6195262024407757E-2</v>
      </c>
      <c r="K33" s="147">
        <f t="shared" si="13"/>
        <v>-6.8639902810757075E-2</v>
      </c>
      <c r="L33" s="147">
        <f t="shared" si="14"/>
        <v>3.6998177701695291E-3</v>
      </c>
      <c r="M33" s="147">
        <f t="shared" si="15"/>
        <v>8.9053325234229763E-2</v>
      </c>
      <c r="N33" s="147">
        <f t="shared" si="16"/>
        <v>0.12861008338395272</v>
      </c>
      <c r="O33" s="147">
        <f t="shared" si="17"/>
        <v>0.16435658144200857</v>
      </c>
      <c r="P33" s="147">
        <f t="shared" si="18"/>
        <v>0.20590130137868831</v>
      </c>
      <c r="Q33" s="147">
        <f t="shared" si="19"/>
        <v>0.23152391996613103</v>
      </c>
      <c r="R33" s="147">
        <f t="shared" si="20"/>
        <v>0.18661070922377454</v>
      </c>
      <c r="S33" s="147">
        <f t="shared" si="21"/>
        <v>9.163031273584038E-2</v>
      </c>
      <c r="T33" s="147">
        <f t="shared" si="22"/>
        <v>-2.6377307784342961E-2</v>
      </c>
      <c r="U33" s="147">
        <f t="shared" si="23"/>
        <v>-0.17192188046459403</v>
      </c>
      <c r="V33" s="147">
        <f t="shared" si="24"/>
        <v>-0.18718132788484548</v>
      </c>
      <c r="W33" s="147">
        <f t="shared" si="25"/>
        <v>-0.18745743368858947</v>
      </c>
      <c r="Y33" t="s">
        <v>353</v>
      </c>
      <c r="Z33" s="218">
        <v>5.6700000000000017</v>
      </c>
    </row>
    <row r="34" spans="1:26" x14ac:dyDescent="0.25">
      <c r="A34" s="143" t="s">
        <v>354</v>
      </c>
      <c r="B34" s="147">
        <f t="shared" si="4"/>
        <v>0</v>
      </c>
      <c r="C34" s="147">
        <f t="shared" si="5"/>
        <v>-7.3564030131826738E-3</v>
      </c>
      <c r="D34" s="147">
        <f t="shared" si="6"/>
        <v>-2.5453154425612054E-3</v>
      </c>
      <c r="E34" s="147">
        <f t="shared" si="7"/>
        <v>4.4138418079096045E-4</v>
      </c>
      <c r="F34" s="147">
        <f t="shared" si="8"/>
        <v>8.2244585687382306E-3</v>
      </c>
      <c r="G34" s="147">
        <f t="shared" si="9"/>
        <v>1.9818149717514125E-2</v>
      </c>
      <c r="H34" s="147">
        <f t="shared" si="10"/>
        <v>1.1917372881355932E-2</v>
      </c>
      <c r="I34" s="147">
        <f t="shared" si="11"/>
        <v>7.8125E-3</v>
      </c>
      <c r="J34" s="147">
        <f t="shared" si="12"/>
        <v>-2.8822387005649718E-2</v>
      </c>
      <c r="K34" s="147">
        <f t="shared" si="13"/>
        <v>3.0705626177024482E-2</v>
      </c>
      <c r="L34" s="147">
        <f t="shared" si="14"/>
        <v>9.038076741996233E-2</v>
      </c>
      <c r="M34" s="147">
        <f t="shared" si="15"/>
        <v>0.13566678436911489</v>
      </c>
      <c r="N34" s="147">
        <f t="shared" si="16"/>
        <v>0.16765242467043315</v>
      </c>
      <c r="O34" s="147">
        <f t="shared" si="17"/>
        <v>0.21430673258003766</v>
      </c>
      <c r="P34" s="147">
        <f t="shared" si="18"/>
        <v>0.24483580508474576</v>
      </c>
      <c r="Q34" s="147">
        <f t="shared" si="19"/>
        <v>0.2893567561205273</v>
      </c>
      <c r="R34" s="147">
        <f t="shared" si="20"/>
        <v>0.30114171374764598</v>
      </c>
      <c r="S34" s="147">
        <f t="shared" si="21"/>
        <v>0.32838983050847459</v>
      </c>
      <c r="T34" s="147">
        <f t="shared" si="22"/>
        <v>0.32238700564971751</v>
      </c>
      <c r="U34" s="147">
        <f t="shared" si="23"/>
        <v>0.22289901129943504</v>
      </c>
      <c r="V34" s="147">
        <f t="shared" si="24"/>
        <v>0.21473340395480225</v>
      </c>
      <c r="W34" s="147">
        <f t="shared" si="25"/>
        <v>0.2428642890772128</v>
      </c>
      <c r="Y34" t="s">
        <v>197</v>
      </c>
      <c r="Z34" s="218">
        <v>6.3299999999999983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357</v>
      </c>
      <c r="B36" s="315"/>
      <c r="C36" s="315"/>
      <c r="D36" s="315"/>
      <c r="E36" s="315"/>
      <c r="F36" s="315"/>
      <c r="G36" s="315"/>
      <c r="H36" s="315"/>
      <c r="I36" s="315"/>
      <c r="J36" s="315"/>
      <c r="K36" s="315"/>
      <c r="L36" s="315"/>
      <c r="M36" s="315"/>
      <c r="N36" s="315"/>
      <c r="O36" s="315"/>
      <c r="P36" s="315"/>
      <c r="Q36" s="315"/>
      <c r="R36" s="315"/>
      <c r="S36" s="315"/>
    </row>
    <row r="37" spans="1:26" x14ac:dyDescent="0.25">
      <c r="A37" s="190" t="s">
        <v>188</v>
      </c>
      <c r="B37" s="191">
        <v>2005</v>
      </c>
      <c r="C37" s="191">
        <v>2006</v>
      </c>
      <c r="D37" s="191">
        <v>2007</v>
      </c>
      <c r="E37" s="191">
        <v>2008</v>
      </c>
      <c r="F37" s="191">
        <v>2009</v>
      </c>
      <c r="G37" s="191">
        <v>2010</v>
      </c>
      <c r="H37" s="191">
        <v>2011</v>
      </c>
      <c r="I37" s="191">
        <v>2012</v>
      </c>
      <c r="J37" s="191">
        <v>2013</v>
      </c>
      <c r="K37" s="191">
        <v>2014</v>
      </c>
      <c r="L37" s="191">
        <v>2015</v>
      </c>
      <c r="M37" s="191">
        <v>2016</v>
      </c>
      <c r="N37" s="191">
        <v>2017</v>
      </c>
      <c r="O37" s="191">
        <v>2018</v>
      </c>
      <c r="P37" s="191">
        <v>2019</v>
      </c>
      <c r="Q37" s="191">
        <v>2020</v>
      </c>
      <c r="R37" s="191">
        <v>2021</v>
      </c>
      <c r="S37" s="191">
        <v>2022</v>
      </c>
    </row>
    <row r="38" spans="1:26" ht="15.75" thickBot="1" x14ac:dyDescent="0.3">
      <c r="A38" s="166" t="s">
        <v>351</v>
      </c>
      <c r="B38" s="169">
        <v>10.63</v>
      </c>
      <c r="C38" s="169">
        <v>11.36</v>
      </c>
      <c r="D38" s="169">
        <v>11.07</v>
      </c>
      <c r="E38" s="169">
        <v>11.1</v>
      </c>
      <c r="F38" s="169">
        <v>11.24</v>
      </c>
      <c r="G38" s="169">
        <v>11.98</v>
      </c>
      <c r="H38" s="169">
        <v>12.3</v>
      </c>
      <c r="I38" s="169">
        <v>12.27</v>
      </c>
      <c r="J38" s="169">
        <v>12.22</v>
      </c>
      <c r="K38" s="169">
        <v>11.93</v>
      </c>
      <c r="L38" s="169">
        <v>11.9</v>
      </c>
      <c r="M38" s="169">
        <v>11.95</v>
      </c>
      <c r="N38" s="169">
        <v>12.14</v>
      </c>
      <c r="O38" s="169">
        <v>12.71</v>
      </c>
      <c r="P38" s="169">
        <v>13.09</v>
      </c>
      <c r="Q38" s="169">
        <v>13.5</v>
      </c>
      <c r="R38" s="169">
        <v>13.96</v>
      </c>
      <c r="S38" s="170">
        <v>14.09</v>
      </c>
      <c r="T38" s="218">
        <f>S38-(B38*1.4985)</f>
        <v>-1.8390550000000001</v>
      </c>
      <c r="U38">
        <f>T38/B38</f>
        <v>-0.17300611476952021</v>
      </c>
    </row>
    <row r="39" spans="1:26" ht="15.75" thickTop="1" x14ac:dyDescent="0.25">
      <c r="A39" s="143" t="s">
        <v>198</v>
      </c>
      <c r="B39" s="150">
        <v>15.64</v>
      </c>
      <c r="C39" s="150">
        <v>16.63</v>
      </c>
      <c r="D39" s="150">
        <v>17.27</v>
      </c>
      <c r="E39" s="150">
        <v>17.170000000000002</v>
      </c>
      <c r="F39" s="150">
        <v>16.420000000000002</v>
      </c>
      <c r="G39" s="150">
        <v>16.28</v>
      </c>
      <c r="H39" s="150">
        <v>14.64</v>
      </c>
      <c r="I39" s="150">
        <v>14.66</v>
      </c>
      <c r="J39" s="150">
        <v>15.79</v>
      </c>
      <c r="K39" s="150">
        <v>16.89</v>
      </c>
      <c r="L39" s="150">
        <v>16.52</v>
      </c>
      <c r="M39" s="150">
        <v>15.41</v>
      </c>
      <c r="N39" s="150">
        <v>16.72</v>
      </c>
      <c r="O39" s="150">
        <v>16.850000000000001</v>
      </c>
      <c r="P39" s="150">
        <v>18.21</v>
      </c>
      <c r="Q39" s="150">
        <v>18.350000000000001</v>
      </c>
      <c r="R39" s="150">
        <v>18.309999999999999</v>
      </c>
      <c r="S39" s="151">
        <v>20.97</v>
      </c>
      <c r="T39" s="218">
        <f t="shared" ref="T39:T43" si="26">S39-(B39*1.4985)</f>
        <v>-2.466540000000002</v>
      </c>
      <c r="U39">
        <f>T39/B39</f>
        <v>-0.15770716112531982</v>
      </c>
    </row>
    <row r="40" spans="1:26" x14ac:dyDescent="0.25">
      <c r="A40" s="143" t="s">
        <v>352</v>
      </c>
      <c r="B40" s="150">
        <v>14.9</v>
      </c>
      <c r="C40" s="150">
        <v>19.420000000000002</v>
      </c>
      <c r="D40" s="150">
        <v>20.3</v>
      </c>
      <c r="E40" s="150">
        <v>22.15</v>
      </c>
      <c r="F40" s="150">
        <v>17.21</v>
      </c>
      <c r="G40" s="150">
        <v>16.95</v>
      </c>
      <c r="H40" s="150">
        <v>15.99</v>
      </c>
      <c r="I40" s="150">
        <v>23.73</v>
      </c>
      <c r="J40" s="150">
        <v>26.1</v>
      </c>
      <c r="K40" s="150">
        <v>17.649999999999999</v>
      </c>
      <c r="L40" s="150">
        <v>18.52</v>
      </c>
      <c r="M40" s="150">
        <v>16.399999999999999</v>
      </c>
      <c r="N40" s="150">
        <v>18.46</v>
      </c>
      <c r="O40" s="150">
        <v>17.649999999999999</v>
      </c>
      <c r="P40" s="150">
        <v>18.05</v>
      </c>
      <c r="Q40" s="150">
        <v>17.04</v>
      </c>
      <c r="R40" s="150">
        <v>14.82</v>
      </c>
      <c r="S40" s="151">
        <v>15.09</v>
      </c>
      <c r="T40" s="218">
        <f t="shared" si="26"/>
        <v>-7.2376499999999986</v>
      </c>
      <c r="U40">
        <f t="shared" ref="U40:U43" si="27">T40/B40</f>
        <v>-0.4857483221476509</v>
      </c>
    </row>
    <row r="41" spans="1:26" x14ac:dyDescent="0.25">
      <c r="A41" s="143" t="s">
        <v>197</v>
      </c>
      <c r="B41" s="150">
        <v>23.53</v>
      </c>
      <c r="C41" s="150">
        <v>23.62</v>
      </c>
      <c r="D41" s="150">
        <v>25.59</v>
      </c>
      <c r="E41" s="150">
        <v>24.46</v>
      </c>
      <c r="F41" s="150">
        <v>23.6</v>
      </c>
      <c r="G41" s="150">
        <v>25.77</v>
      </c>
      <c r="H41" s="150">
        <v>25.27</v>
      </c>
      <c r="I41" s="150">
        <v>26.59</v>
      </c>
      <c r="J41" s="150">
        <v>25.69</v>
      </c>
      <c r="K41" s="150">
        <v>25.96</v>
      </c>
      <c r="L41" s="150">
        <v>25.17</v>
      </c>
      <c r="M41" s="150">
        <v>25.29</v>
      </c>
      <c r="N41" s="150">
        <v>26.65</v>
      </c>
      <c r="O41" s="150">
        <v>28.3</v>
      </c>
      <c r="P41" s="150">
        <v>28.35</v>
      </c>
      <c r="Q41" s="150">
        <v>28.2</v>
      </c>
      <c r="R41" s="150">
        <v>29.13</v>
      </c>
      <c r="S41" s="151">
        <v>29.86</v>
      </c>
      <c r="T41" s="218">
        <f t="shared" si="26"/>
        <v>-5.3997050000000044</v>
      </c>
      <c r="U41">
        <f t="shared" si="27"/>
        <v>-0.22948172545686377</v>
      </c>
    </row>
    <row r="42" spans="1:26" x14ac:dyDescent="0.25">
      <c r="A42" s="179" t="s">
        <v>353</v>
      </c>
      <c r="B42" s="152">
        <v>13.61</v>
      </c>
      <c r="C42" s="152">
        <v>14.52</v>
      </c>
      <c r="D42" s="152">
        <v>14.77</v>
      </c>
      <c r="E42" s="152">
        <v>14.79</v>
      </c>
      <c r="F42" s="152">
        <v>15.09</v>
      </c>
      <c r="G42" s="152">
        <v>15.26</v>
      </c>
      <c r="H42" s="152">
        <v>15.72</v>
      </c>
      <c r="I42" s="152">
        <v>15.85</v>
      </c>
      <c r="J42" s="152">
        <v>16</v>
      </c>
      <c r="K42" s="152">
        <v>15.82</v>
      </c>
      <c r="L42" s="152">
        <v>15.89</v>
      </c>
      <c r="M42" s="152">
        <v>16.079999999999998</v>
      </c>
      <c r="N42" s="152">
        <v>16.670000000000002</v>
      </c>
      <c r="O42" s="152">
        <v>17.23</v>
      </c>
      <c r="P42" s="152">
        <v>18.02</v>
      </c>
      <c r="Q42" s="152">
        <v>18.559999999999999</v>
      </c>
      <c r="R42" s="152">
        <v>18.100000000000001</v>
      </c>
      <c r="S42" s="153">
        <v>19.28</v>
      </c>
      <c r="T42" s="218">
        <f t="shared" si="26"/>
        <v>-1.1145849999999982</v>
      </c>
      <c r="U42">
        <f t="shared" si="27"/>
        <v>-8.1894562821454686E-2</v>
      </c>
    </row>
    <row r="43" spans="1:26" x14ac:dyDescent="0.25">
      <c r="A43" s="143" t="s">
        <v>354</v>
      </c>
      <c r="B43" s="152">
        <v>14.27</v>
      </c>
      <c r="C43" s="152">
        <v>14.36</v>
      </c>
      <c r="D43" s="152">
        <v>14.9</v>
      </c>
      <c r="E43" s="152">
        <v>15.13</v>
      </c>
      <c r="F43" s="152">
        <v>15.35</v>
      </c>
      <c r="G43" s="152">
        <v>14.93</v>
      </c>
      <c r="H43" s="152">
        <v>14.84</v>
      </c>
      <c r="I43" s="152">
        <v>14.6</v>
      </c>
      <c r="J43" s="152">
        <v>14.58</v>
      </c>
      <c r="K43" s="152">
        <v>14.44</v>
      </c>
      <c r="L43" s="152">
        <v>14.93</v>
      </c>
      <c r="M43" s="152">
        <v>15.31</v>
      </c>
      <c r="N43" s="152">
        <v>15.54</v>
      </c>
      <c r="O43" s="152">
        <v>15.94</v>
      </c>
      <c r="P43" s="152">
        <v>16.329999999999998</v>
      </c>
      <c r="Q43" s="152">
        <v>17.07</v>
      </c>
      <c r="R43" s="152">
        <v>17.57</v>
      </c>
      <c r="S43" s="153">
        <v>17.98</v>
      </c>
      <c r="T43" s="218">
        <f t="shared" si="26"/>
        <v>-3.4035949999999993</v>
      </c>
      <c r="U43">
        <f t="shared" si="27"/>
        <v>-0.2385140154169586</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358</v>
      </c>
      <c r="B46" s="315"/>
      <c r="C46" s="315"/>
      <c r="D46" s="315"/>
      <c r="E46" s="315"/>
      <c r="F46" s="315"/>
      <c r="G46" s="315"/>
      <c r="H46" s="315"/>
      <c r="I46" s="315"/>
      <c r="J46" s="315"/>
      <c r="K46" s="315"/>
      <c r="L46" s="315"/>
      <c r="M46" s="315"/>
      <c r="N46" s="315"/>
      <c r="O46" s="315"/>
      <c r="P46" s="315"/>
      <c r="Q46" s="315"/>
      <c r="R46" s="315"/>
      <c r="S46" s="315"/>
    </row>
    <row r="47" spans="1:26" x14ac:dyDescent="0.25">
      <c r="A47" s="190" t="s">
        <v>188</v>
      </c>
      <c r="B47" s="191">
        <v>2005</v>
      </c>
      <c r="C47" s="191">
        <v>2006</v>
      </c>
      <c r="D47" s="191">
        <v>2007</v>
      </c>
      <c r="E47" s="191">
        <v>2008</v>
      </c>
      <c r="F47" s="191">
        <v>2009</v>
      </c>
      <c r="G47" s="191">
        <v>2010</v>
      </c>
      <c r="H47" s="191">
        <v>2011</v>
      </c>
      <c r="I47" s="191">
        <v>2012</v>
      </c>
      <c r="J47" s="191">
        <v>2013</v>
      </c>
      <c r="K47" s="191">
        <v>2014</v>
      </c>
      <c r="L47" s="191">
        <v>2015</v>
      </c>
      <c r="M47" s="191">
        <v>2016</v>
      </c>
      <c r="N47" s="191">
        <v>2017</v>
      </c>
      <c r="O47" s="191">
        <v>2018</v>
      </c>
      <c r="P47" s="191">
        <v>2019</v>
      </c>
      <c r="Q47" s="191">
        <v>2020</v>
      </c>
      <c r="R47" s="191">
        <v>2021</v>
      </c>
      <c r="S47" s="191">
        <v>2022</v>
      </c>
    </row>
    <row r="48" spans="1:26" ht="15.75" thickBot="1" x14ac:dyDescent="0.3">
      <c r="A48" s="166" t="s">
        <v>351</v>
      </c>
      <c r="B48" s="168">
        <f>(B38-B38)/B38</f>
        <v>0</v>
      </c>
      <c r="C48" s="168">
        <f>(C38-B38)/B38</f>
        <v>6.8673565380997045E-2</v>
      </c>
      <c r="D48" s="168">
        <f>(D38-B38)/B38</f>
        <v>4.139228598306674E-2</v>
      </c>
      <c r="E48" s="168">
        <f>(E38-B38)/B38</f>
        <v>4.421448730009396E-2</v>
      </c>
      <c r="F48" s="168">
        <f>(F38-B38)/B38</f>
        <v>5.7384760112887997E-2</v>
      </c>
      <c r="G48" s="168">
        <f>(G38-B38)/B38</f>
        <v>0.12699905926622762</v>
      </c>
      <c r="H48" s="168">
        <f>(H38-B38)/B38</f>
        <v>0.15710253998118531</v>
      </c>
      <c r="I48" s="168">
        <f>(I38-B38)/B38</f>
        <v>0.15428033866415791</v>
      </c>
      <c r="J48" s="168">
        <f>(J38-B38)/B38</f>
        <v>0.14957666980244588</v>
      </c>
      <c r="K48" s="168">
        <f>(K38-B38)/B38</f>
        <v>0.12229539040451541</v>
      </c>
      <c r="L48" s="168">
        <f>(L38-B38)/B38</f>
        <v>0.11947318908748819</v>
      </c>
      <c r="M48" s="168">
        <f>(M38-B38)/B38</f>
        <v>0.12417685794920022</v>
      </c>
      <c r="N48" s="168">
        <f>(N38-B38)/B38</f>
        <v>0.14205079962370645</v>
      </c>
      <c r="O48" s="168">
        <f>(O38-B38)/B38</f>
        <v>0.19567262464722482</v>
      </c>
      <c r="P48" s="168">
        <f>(P38-B38)/B38</f>
        <v>0.23142050799623695</v>
      </c>
      <c r="Q48" s="168">
        <f>(Q38-B38)/B38</f>
        <v>0.26999059266227649</v>
      </c>
      <c r="R48" s="168">
        <f>(R38-B38)/B38</f>
        <v>0.31326434619002819</v>
      </c>
      <c r="S48" s="168">
        <f>(S38-B38)/B38</f>
        <v>0.32549388523047967</v>
      </c>
    </row>
    <row r="49" spans="1:19" ht="15.75" thickTop="1" x14ac:dyDescent="0.25">
      <c r="A49" s="143" t="s">
        <v>198</v>
      </c>
      <c r="B49" s="147">
        <f t="shared" ref="B49:B53" si="28">(B39-B39)/B39</f>
        <v>0</v>
      </c>
      <c r="C49" s="147">
        <f t="shared" ref="C49:C53" si="29">(C39-B39)/B39</f>
        <v>6.3299232736572786E-2</v>
      </c>
      <c r="D49" s="147">
        <f t="shared" ref="D49:D53" si="30">(D39-B39)/B39</f>
        <v>0.10421994884910479</v>
      </c>
      <c r="E49" s="147">
        <f t="shared" ref="E49:E53" si="31">(E39-B39)/B39</f>
        <v>9.7826086956521813E-2</v>
      </c>
      <c r="F49" s="147">
        <f t="shared" ref="F49:F53" si="32">(F39-B39)/B39</f>
        <v>4.9872122762148412E-2</v>
      </c>
      <c r="G49" s="147">
        <f t="shared" ref="G49:G53" si="33">(G39-B39)/B39</f>
        <v>4.0920716112532007E-2</v>
      </c>
      <c r="H49" s="147">
        <f t="shared" ref="H49:H53" si="34">(H39-B39)/B39</f>
        <v>-6.3938618925831206E-2</v>
      </c>
      <c r="I49" s="147">
        <f t="shared" ref="I49:I53" si="35">(I39-B39)/B39</f>
        <v>-6.2659846547314602E-2</v>
      </c>
      <c r="J49" s="147">
        <f t="shared" ref="J49:J53" si="36">(J39-B39)/B39</f>
        <v>9.5907928388745886E-3</v>
      </c>
      <c r="K49" s="147">
        <f t="shared" ref="K49:K53" si="37">(K39-B39)/B39</f>
        <v>7.9923273657289004E-2</v>
      </c>
      <c r="L49" s="147">
        <f t="shared" ref="L49:L53" si="38">(L39-B39)/B39</f>
        <v>5.6265984654731392E-2</v>
      </c>
      <c r="M49" s="147">
        <f t="shared" ref="M49:M53" si="39">(M39-B39)/B39</f>
        <v>-1.4705882352941204E-2</v>
      </c>
      <c r="N49" s="147">
        <f t="shared" ref="N49:N53" si="40">(N39-B39)/B39</f>
        <v>6.9053708439897582E-2</v>
      </c>
      <c r="O49" s="147">
        <f t="shared" ref="O49:O53" si="41">(O39-B39)/B39</f>
        <v>7.7365728900255809E-2</v>
      </c>
      <c r="P49" s="147">
        <f t="shared" ref="P49:P53" si="42">(P39-B39)/B39</f>
        <v>0.16432225063938621</v>
      </c>
      <c r="Q49" s="147">
        <f t="shared" ref="Q49:Q53" si="43">(Q39-B39)/B39</f>
        <v>0.1732736572890026</v>
      </c>
      <c r="R49" s="147">
        <f t="shared" ref="R49:R53" si="44">(R39-B39)/B39</f>
        <v>0.17071611253196919</v>
      </c>
      <c r="S49" s="147">
        <f t="shared" ref="S49:S53" si="45">(S39-B39)/B39</f>
        <v>0.3407928388746802</v>
      </c>
    </row>
    <row r="50" spans="1:19" x14ac:dyDescent="0.25">
      <c r="A50" s="143" t="s">
        <v>352</v>
      </c>
      <c r="B50" s="147">
        <f t="shared" si="28"/>
        <v>0</v>
      </c>
      <c r="C50" s="147">
        <f t="shared" si="29"/>
        <v>0.30335570469798667</v>
      </c>
      <c r="D50" s="147">
        <f t="shared" si="30"/>
        <v>0.36241610738255037</v>
      </c>
      <c r="E50" s="147">
        <f t="shared" si="31"/>
        <v>0.48657718120805354</v>
      </c>
      <c r="F50" s="147">
        <f t="shared" si="32"/>
        <v>0.15503355704697991</v>
      </c>
      <c r="G50" s="147">
        <f t="shared" si="33"/>
        <v>0.13758389261744958</v>
      </c>
      <c r="H50" s="147">
        <f t="shared" si="34"/>
        <v>7.3154362416107371E-2</v>
      </c>
      <c r="I50" s="147">
        <f t="shared" si="35"/>
        <v>0.59261744966442953</v>
      </c>
      <c r="J50" s="147">
        <f t="shared" si="36"/>
        <v>0.75167785234899331</v>
      </c>
      <c r="K50" s="147">
        <f t="shared" si="37"/>
        <v>0.18456375838926162</v>
      </c>
      <c r="L50" s="147">
        <f t="shared" si="38"/>
        <v>0.24295302013422812</v>
      </c>
      <c r="M50" s="147">
        <f t="shared" si="39"/>
        <v>0.1006711409395972</v>
      </c>
      <c r="N50" s="147">
        <f t="shared" si="40"/>
        <v>0.23892617449664433</v>
      </c>
      <c r="O50" s="147">
        <f t="shared" si="41"/>
        <v>0.18456375838926162</v>
      </c>
      <c r="P50" s="147">
        <f t="shared" si="42"/>
        <v>0.21140939597315439</v>
      </c>
      <c r="Q50" s="147">
        <f t="shared" si="43"/>
        <v>0.14362416107382542</v>
      </c>
      <c r="R50" s="147">
        <f t="shared" si="44"/>
        <v>-5.3691275167785284E-3</v>
      </c>
      <c r="S50" s="147">
        <f t="shared" si="45"/>
        <v>1.275167785234896E-2</v>
      </c>
    </row>
    <row r="51" spans="1:19" x14ac:dyDescent="0.25">
      <c r="A51" s="143" t="s">
        <v>197</v>
      </c>
      <c r="B51" s="147">
        <f t="shared" si="28"/>
        <v>0</v>
      </c>
      <c r="C51" s="147">
        <f t="shared" si="29"/>
        <v>3.824904377390559E-3</v>
      </c>
      <c r="D51" s="147">
        <f t="shared" si="30"/>
        <v>8.7547811304717324E-2</v>
      </c>
      <c r="E51" s="147">
        <f t="shared" si="31"/>
        <v>3.9524011899702491E-2</v>
      </c>
      <c r="F51" s="147">
        <f t="shared" si="32"/>
        <v>2.9749256268593403E-3</v>
      </c>
      <c r="G51" s="147">
        <f t="shared" si="33"/>
        <v>9.5197620059498445E-2</v>
      </c>
      <c r="H51" s="147">
        <f t="shared" si="34"/>
        <v>7.3948151296217526E-2</v>
      </c>
      <c r="I51" s="147">
        <f t="shared" si="35"/>
        <v>0.13004674883127915</v>
      </c>
      <c r="J51" s="147">
        <f t="shared" si="36"/>
        <v>9.1797705057373571E-2</v>
      </c>
      <c r="K51" s="147">
        <f t="shared" si="37"/>
        <v>0.10327241818954525</v>
      </c>
      <c r="L51" s="147">
        <f t="shared" si="38"/>
        <v>6.9698257543561432E-2</v>
      </c>
      <c r="M51" s="147">
        <f t="shared" si="39"/>
        <v>7.4798130046748748E-2</v>
      </c>
      <c r="N51" s="147">
        <f t="shared" si="40"/>
        <v>0.13259668508287281</v>
      </c>
      <c r="O51" s="147">
        <f t="shared" si="41"/>
        <v>0.20271993200169994</v>
      </c>
      <c r="P51" s="147">
        <f t="shared" si="42"/>
        <v>0.20484487887802805</v>
      </c>
      <c r="Q51" s="147">
        <f t="shared" si="43"/>
        <v>0.19847003824904369</v>
      </c>
      <c r="R51" s="147">
        <f t="shared" si="44"/>
        <v>0.23799405014874617</v>
      </c>
      <c r="S51" s="147">
        <f t="shared" si="45"/>
        <v>0.26901827454313632</v>
      </c>
    </row>
    <row r="52" spans="1:19" x14ac:dyDescent="0.25">
      <c r="A52" s="179" t="s">
        <v>353</v>
      </c>
      <c r="B52" s="147">
        <f t="shared" si="28"/>
        <v>0</v>
      </c>
      <c r="C52" s="147">
        <f t="shared" si="29"/>
        <v>6.6862601028655419E-2</v>
      </c>
      <c r="D52" s="147">
        <f t="shared" si="30"/>
        <v>8.5231447465099211E-2</v>
      </c>
      <c r="E52" s="147">
        <f t="shared" si="31"/>
        <v>8.670095518001468E-2</v>
      </c>
      <c r="F52" s="147">
        <f t="shared" si="32"/>
        <v>0.10874357090374728</v>
      </c>
      <c r="G52" s="147">
        <f t="shared" si="33"/>
        <v>0.12123438648052906</v>
      </c>
      <c r="H52" s="147">
        <f t="shared" si="34"/>
        <v>0.15503306392358571</v>
      </c>
      <c r="I52" s="147">
        <f t="shared" si="35"/>
        <v>0.16458486407053638</v>
      </c>
      <c r="J52" s="147">
        <f t="shared" si="36"/>
        <v>0.17560617193240269</v>
      </c>
      <c r="K52" s="147">
        <f t="shared" si="37"/>
        <v>0.16238060249816319</v>
      </c>
      <c r="L52" s="147">
        <f t="shared" si="38"/>
        <v>0.16752387950036746</v>
      </c>
      <c r="M52" s="147">
        <f t="shared" si="39"/>
        <v>0.18148420279206459</v>
      </c>
      <c r="N52" s="147">
        <f t="shared" si="40"/>
        <v>0.22483468038207219</v>
      </c>
      <c r="O52" s="147">
        <f t="shared" si="41"/>
        <v>0.26598089639970618</v>
      </c>
      <c r="P52" s="147">
        <f t="shared" si="42"/>
        <v>0.32402645113886852</v>
      </c>
      <c r="Q52" s="147">
        <f t="shared" si="43"/>
        <v>0.36370315944158704</v>
      </c>
      <c r="R52" s="147">
        <f t="shared" si="44"/>
        <v>0.32990448199853067</v>
      </c>
      <c r="S52" s="147">
        <f t="shared" si="45"/>
        <v>0.41660543717854531</v>
      </c>
    </row>
    <row r="53" spans="1:19" x14ac:dyDescent="0.25">
      <c r="A53" s="143" t="s">
        <v>354</v>
      </c>
      <c r="B53" s="147">
        <f t="shared" si="28"/>
        <v>0</v>
      </c>
      <c r="C53" s="147">
        <f t="shared" si="29"/>
        <v>6.3069376313945246E-3</v>
      </c>
      <c r="D53" s="147">
        <f t="shared" si="30"/>
        <v>4.4148563419761797E-2</v>
      </c>
      <c r="E53" s="147">
        <f t="shared" si="31"/>
        <v>6.0266292922214519E-2</v>
      </c>
      <c r="F53" s="147">
        <f t="shared" si="32"/>
        <v>7.5683251576734417E-2</v>
      </c>
      <c r="G53" s="147">
        <f t="shared" si="33"/>
        <v>4.625087596355993E-2</v>
      </c>
      <c r="H53" s="147">
        <f t="shared" si="34"/>
        <v>3.9943938332165405E-2</v>
      </c>
      <c r="I53" s="147">
        <f t="shared" si="35"/>
        <v>2.3125437981779965E-2</v>
      </c>
      <c r="J53" s="147">
        <f t="shared" si="36"/>
        <v>2.1723896285914542E-2</v>
      </c>
      <c r="K53" s="147">
        <f t="shared" si="37"/>
        <v>1.1913104414856338E-2</v>
      </c>
      <c r="L53" s="147">
        <f t="shared" si="38"/>
        <v>4.625087596355993E-2</v>
      </c>
      <c r="M53" s="147">
        <f t="shared" si="39"/>
        <v>7.2880168185003577E-2</v>
      </c>
      <c r="N53" s="147">
        <f t="shared" si="40"/>
        <v>8.8997897687456168E-2</v>
      </c>
      <c r="O53" s="147">
        <f t="shared" si="41"/>
        <v>0.11702873160476523</v>
      </c>
      <c r="P53" s="147">
        <f t="shared" si="42"/>
        <v>0.14435879467414148</v>
      </c>
      <c r="Q53" s="147">
        <f t="shared" si="43"/>
        <v>0.19621583742116333</v>
      </c>
      <c r="R53" s="147">
        <f t="shared" si="44"/>
        <v>0.23125437981779964</v>
      </c>
      <c r="S53" s="147">
        <f t="shared" si="45"/>
        <v>0.2599859845830414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0C12B-D78D-482E-AC2C-6A390E8B9DFD}">
  <sheetPr>
    <tabColor rgb="FF609191"/>
  </sheetPr>
  <dimension ref="A1:AJ23"/>
  <sheetViews>
    <sheetView zoomScaleNormal="100" workbookViewId="0">
      <selection activeCell="C8" sqref="C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359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360</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90" t="s">
        <v>188</v>
      </c>
      <c r="B4" s="191">
        <v>2001</v>
      </c>
      <c r="C4" s="191">
        <v>2002</v>
      </c>
      <c r="D4" s="191">
        <v>2003</v>
      </c>
      <c r="E4" s="191">
        <v>2004</v>
      </c>
      <c r="F4" s="191">
        <v>2005</v>
      </c>
      <c r="G4" s="191">
        <v>2006</v>
      </c>
      <c r="H4" s="191">
        <v>2007</v>
      </c>
      <c r="I4" s="191">
        <v>2008</v>
      </c>
      <c r="J4" s="191">
        <v>2009</v>
      </c>
      <c r="K4" s="191">
        <v>2010</v>
      </c>
      <c r="L4" s="191">
        <v>2011</v>
      </c>
      <c r="M4" s="191">
        <v>2012</v>
      </c>
      <c r="N4" s="191">
        <v>2013</v>
      </c>
      <c r="O4" s="191">
        <v>2014</v>
      </c>
      <c r="P4" s="191">
        <v>2015</v>
      </c>
      <c r="Q4" s="191">
        <v>2016</v>
      </c>
      <c r="R4" s="191">
        <v>2017</v>
      </c>
      <c r="S4" s="191">
        <v>2018</v>
      </c>
      <c r="T4" s="191">
        <v>2019</v>
      </c>
      <c r="U4" s="191">
        <v>2020</v>
      </c>
      <c r="V4" s="191">
        <v>2021</v>
      </c>
      <c r="W4" s="191">
        <v>2022</v>
      </c>
      <c r="X4" s="142"/>
    </row>
    <row r="5" spans="1:28" x14ac:dyDescent="0.2">
      <c r="A5" s="143" t="s">
        <v>1</v>
      </c>
      <c r="B5" s="144">
        <v>39175</v>
      </c>
      <c r="C5" s="144">
        <v>39517</v>
      </c>
      <c r="D5" s="144">
        <v>39036</v>
      </c>
      <c r="E5" s="144">
        <v>38515</v>
      </c>
      <c r="F5" s="144">
        <v>38152</v>
      </c>
      <c r="G5" s="144">
        <v>37570</v>
      </c>
      <c r="H5" s="144">
        <v>36910</v>
      </c>
      <c r="I5" s="144">
        <v>36369</v>
      </c>
      <c r="J5" s="144">
        <v>35963</v>
      </c>
      <c r="K5" s="144">
        <v>36337</v>
      </c>
      <c r="L5" s="144">
        <v>36405</v>
      </c>
      <c r="M5" s="144">
        <v>34590</v>
      </c>
      <c r="N5" s="144">
        <v>34140</v>
      </c>
      <c r="O5" s="144">
        <v>32859</v>
      </c>
      <c r="P5" s="144">
        <v>32993</v>
      </c>
      <c r="Q5" s="144">
        <v>32689</v>
      </c>
      <c r="R5" s="144">
        <v>32825</v>
      </c>
      <c r="S5" s="144">
        <v>33760</v>
      </c>
      <c r="T5" s="144">
        <v>33750</v>
      </c>
      <c r="U5" s="144">
        <v>30723</v>
      </c>
      <c r="V5" s="144">
        <v>29755</v>
      </c>
      <c r="W5" s="144">
        <v>31011</v>
      </c>
      <c r="X5" s="145"/>
    </row>
    <row r="6" spans="1:28" x14ac:dyDescent="0.2">
      <c r="A6" s="143" t="s">
        <v>228</v>
      </c>
      <c r="B6" s="144">
        <v>417376</v>
      </c>
      <c r="C6" s="144">
        <v>431280</v>
      </c>
      <c r="D6" s="144">
        <v>437127</v>
      </c>
      <c r="E6" s="144">
        <v>438787</v>
      </c>
      <c r="F6" s="144">
        <v>443404</v>
      </c>
      <c r="G6" s="144">
        <v>460455</v>
      </c>
      <c r="H6" s="144">
        <v>481816</v>
      </c>
      <c r="I6" s="144">
        <v>490798</v>
      </c>
      <c r="J6" s="144">
        <v>481072</v>
      </c>
      <c r="K6" s="144">
        <v>462439</v>
      </c>
      <c r="L6" s="144">
        <v>432777</v>
      </c>
      <c r="M6" s="144">
        <v>461993</v>
      </c>
      <c r="N6" s="144">
        <v>437273</v>
      </c>
      <c r="O6" s="144">
        <v>439688</v>
      </c>
      <c r="P6" s="144">
        <v>455541</v>
      </c>
      <c r="Q6" s="144">
        <v>471603</v>
      </c>
      <c r="R6" s="144">
        <v>495590</v>
      </c>
      <c r="S6" s="144">
        <v>508667</v>
      </c>
      <c r="T6" s="144">
        <v>525179</v>
      </c>
      <c r="U6" s="144">
        <v>459262</v>
      </c>
      <c r="V6" s="144">
        <v>484541</v>
      </c>
      <c r="W6" s="144">
        <v>506315</v>
      </c>
      <c r="X6" s="145"/>
    </row>
    <row r="7" spans="1:28" ht="15.75" x14ac:dyDescent="0.25">
      <c r="A7" s="142"/>
      <c r="B7" s="142"/>
      <c r="C7" s="142"/>
      <c r="D7" s="142"/>
      <c r="E7" s="142"/>
      <c r="F7" s="142"/>
      <c r="G7" s="142"/>
      <c r="H7" s="142"/>
      <c r="I7" s="142"/>
      <c r="J7" s="142"/>
      <c r="K7" s="142"/>
      <c r="L7" s="142"/>
      <c r="M7" s="142"/>
      <c r="N7" s="142"/>
      <c r="O7" s="142"/>
      <c r="P7" s="142"/>
      <c r="Q7" s="142"/>
      <c r="R7" s="142"/>
      <c r="S7" s="142"/>
      <c r="T7" s="142"/>
      <c r="U7" s="142"/>
      <c r="V7" s="142"/>
      <c r="W7" s="142"/>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ht="15.75" x14ac:dyDescent="0.25">
      <c r="A9" s="315" t="s">
        <v>361</v>
      </c>
      <c r="B9" s="315"/>
      <c r="C9" s="315"/>
      <c r="D9" s="315"/>
      <c r="E9" s="315"/>
      <c r="F9" s="315"/>
      <c r="G9" s="315"/>
      <c r="H9" s="315"/>
      <c r="I9" s="315"/>
      <c r="J9" s="315"/>
      <c r="K9" s="315"/>
      <c r="L9" s="315"/>
      <c r="M9" s="315"/>
      <c r="N9" s="315"/>
      <c r="O9" s="315"/>
      <c r="P9" s="315"/>
      <c r="Q9" s="315"/>
      <c r="R9" s="315"/>
      <c r="S9" s="315"/>
      <c r="T9" s="315"/>
      <c r="U9" s="315"/>
      <c r="V9" s="315"/>
      <c r="W9" s="315"/>
    </row>
    <row r="10" spans="1:28" x14ac:dyDescent="0.2">
      <c r="A10" s="190" t="s">
        <v>188</v>
      </c>
      <c r="B10" s="191">
        <v>2001</v>
      </c>
      <c r="C10" s="191">
        <v>2002</v>
      </c>
      <c r="D10" s="191">
        <v>2003</v>
      </c>
      <c r="E10" s="191">
        <v>2004</v>
      </c>
      <c r="F10" s="191">
        <v>2005</v>
      </c>
      <c r="G10" s="191">
        <v>2006</v>
      </c>
      <c r="H10" s="191">
        <v>2007</v>
      </c>
      <c r="I10" s="191">
        <v>2008</v>
      </c>
      <c r="J10" s="191">
        <v>2009</v>
      </c>
      <c r="K10" s="191">
        <v>2010</v>
      </c>
      <c r="L10" s="191">
        <v>2011</v>
      </c>
      <c r="M10" s="191">
        <v>2012</v>
      </c>
      <c r="N10" s="191">
        <v>2013</v>
      </c>
      <c r="O10" s="191">
        <v>2014</v>
      </c>
      <c r="P10" s="191">
        <v>2015</v>
      </c>
      <c r="Q10" s="191">
        <v>2016</v>
      </c>
      <c r="R10" s="191">
        <v>2017</v>
      </c>
      <c r="S10" s="191">
        <v>2018</v>
      </c>
      <c r="T10" s="191">
        <v>2019</v>
      </c>
      <c r="U10" s="191">
        <v>2020</v>
      </c>
      <c r="V10" s="191">
        <v>2021</v>
      </c>
      <c r="W10" s="191">
        <v>2022</v>
      </c>
    </row>
    <row r="11" spans="1:28" x14ac:dyDescent="0.2">
      <c r="A11" s="143" t="s">
        <v>1</v>
      </c>
      <c r="B11" s="171">
        <f>(B5-B5)/B5</f>
        <v>0</v>
      </c>
      <c r="C11" s="171">
        <f>(C5-B5)/B5</f>
        <v>8.7300574345883855E-3</v>
      </c>
      <c r="D11" s="171">
        <f>(D5-B5)/B5</f>
        <v>-3.5481812380344607E-3</v>
      </c>
      <c r="E11" s="171">
        <f>(E5-B5)/B5</f>
        <v>-1.6847479259731971E-2</v>
      </c>
      <c r="F11" s="171">
        <f>(F5-B5)/B5</f>
        <v>-2.6113592852584556E-2</v>
      </c>
      <c r="G11" s="171">
        <f>(G5-B5)/B5</f>
        <v>-4.0970006381620933E-2</v>
      </c>
      <c r="H11" s="171">
        <f>(H5-B5)/B5</f>
        <v>-5.7817485641352903E-2</v>
      </c>
      <c r="I11" s="171">
        <f>(I5-B5)/B5</f>
        <v>-7.1627313337587747E-2</v>
      </c>
      <c r="J11" s="171">
        <f>(J5-B5)/B5</f>
        <v>-8.1991065730695603E-2</v>
      </c>
      <c r="K11" s="171">
        <f>(K5-B5)/B5</f>
        <v>-7.2444160816847486E-2</v>
      </c>
      <c r="L11" s="171">
        <f>(L5-B5)/B5</f>
        <v>-7.0708359923420547E-2</v>
      </c>
      <c r="M11" s="171">
        <f>(M5-B5)/B5</f>
        <v>-0.11703892788768347</v>
      </c>
      <c r="N11" s="171">
        <f>(N5-B5)/B5</f>
        <v>-0.12852584556477345</v>
      </c>
      <c r="O11" s="171">
        <f>(O5-B5)/B5</f>
        <v>-0.1612252712188896</v>
      </c>
      <c r="P11" s="171">
        <f>(P5-B5)/B5</f>
        <v>-0.15780472239948948</v>
      </c>
      <c r="Q11" s="171">
        <f>(Q5-B5)/B5</f>
        <v>-0.16556477345245693</v>
      </c>
      <c r="R11" s="171">
        <f>(R5-B5)/B5</f>
        <v>-0.16209317166560305</v>
      </c>
      <c r="S11" s="171">
        <f>(S5-B5)/B5</f>
        <v>-0.13822590938098278</v>
      </c>
      <c r="T11" s="171">
        <f>(T5-B5)/B5</f>
        <v>-0.13848117421825143</v>
      </c>
      <c r="U11" s="171">
        <f>(U5-B5)/B5</f>
        <v>-0.2157498404594767</v>
      </c>
      <c r="V11" s="171">
        <f>(V5-B5)/B5</f>
        <v>-0.24045947670708359</v>
      </c>
      <c r="W11" s="171">
        <f>(W5-B5)/B5</f>
        <v>-0.20839821314613913</v>
      </c>
    </row>
    <row r="12" spans="1:28" x14ac:dyDescent="0.2">
      <c r="A12" s="143" t="s">
        <v>228</v>
      </c>
      <c r="B12" s="171">
        <f>(B6-B6)/B6</f>
        <v>0</v>
      </c>
      <c r="C12" s="171">
        <f>(C6-B6)/B6</f>
        <v>3.3312888139231771E-2</v>
      </c>
      <c r="D12" s="171">
        <f>(D6-B6)/B6</f>
        <v>4.7321839300774361E-2</v>
      </c>
      <c r="E12" s="171">
        <f>(E6-B6)/B6</f>
        <v>5.1299068465843749E-2</v>
      </c>
      <c r="F12" s="171">
        <f>(F6-B6)/B6</f>
        <v>6.2361036571340948E-2</v>
      </c>
      <c r="G12" s="171">
        <f>(G6-B6)/B6</f>
        <v>0.10321388867591812</v>
      </c>
      <c r="H12" s="171">
        <f>(H6-B6)/B6</f>
        <v>0.15439316108257303</v>
      </c>
      <c r="I12" s="171">
        <f>(I6-B6)/B6</f>
        <v>0.17591332515525571</v>
      </c>
      <c r="J12" s="171">
        <f>(J6-B6)/B6</f>
        <v>0.15261059572184313</v>
      </c>
      <c r="K12" s="171">
        <f>(K6-B6)/B6</f>
        <v>0.10796739630453117</v>
      </c>
      <c r="L12" s="171">
        <f>(L6-B6)/B6</f>
        <v>3.6899582151345547E-2</v>
      </c>
      <c r="M12" s="171">
        <f>(M6-B6)/B6</f>
        <v>0.10689881545656674</v>
      </c>
      <c r="N12" s="171">
        <f>(N6-B6)/B6</f>
        <v>4.7671643793605764E-2</v>
      </c>
      <c r="O12" s="171">
        <f>(O6-B6)/B6</f>
        <v>5.3457793452426586E-2</v>
      </c>
      <c r="P12" s="171">
        <f>(P6-B6)/B6</f>
        <v>9.1440331978839218E-2</v>
      </c>
      <c r="Q12" s="171">
        <f>(Q6-B6)/B6</f>
        <v>0.1299236180326612</v>
      </c>
      <c r="R12" s="171">
        <f>(R6-B6)/B6</f>
        <v>0.18739457946791382</v>
      </c>
      <c r="S12" s="171">
        <f>(S6-B6)/B6</f>
        <v>0.21872604078816224</v>
      </c>
      <c r="T12" s="171">
        <f>(T6-B6)/B6</f>
        <v>0.25828749137468376</v>
      </c>
      <c r="U12" s="171">
        <f>(U6-B6)/B6</f>
        <v>0.10035555470367247</v>
      </c>
      <c r="V12" s="171">
        <f>(V6-B6)/B6</f>
        <v>0.16092204630836465</v>
      </c>
      <c r="W12" s="171">
        <f>(W6-B6)/B6</f>
        <v>0.21309083416391936</v>
      </c>
    </row>
    <row r="14" spans="1:28" ht="15.75" x14ac:dyDescent="0.25">
      <c r="A14" s="315" t="s">
        <v>362</v>
      </c>
      <c r="B14" s="315"/>
      <c r="C14" s="315"/>
      <c r="D14" s="315"/>
      <c r="E14" s="315"/>
      <c r="F14" s="315"/>
      <c r="G14" s="315"/>
      <c r="H14" s="315"/>
      <c r="I14" s="315"/>
      <c r="J14" s="315"/>
      <c r="K14" s="315"/>
      <c r="L14" s="315"/>
      <c r="M14" s="315"/>
      <c r="N14" s="315"/>
      <c r="O14" s="315"/>
      <c r="P14" s="315"/>
      <c r="Q14" s="315"/>
      <c r="R14" s="315"/>
      <c r="S14" s="315"/>
      <c r="T14"/>
      <c r="U14"/>
      <c r="V14"/>
      <c r="W14"/>
    </row>
    <row r="15" spans="1:28" ht="15" x14ac:dyDescent="0.25">
      <c r="A15" s="190" t="s">
        <v>188</v>
      </c>
      <c r="B15" s="191">
        <v>2005</v>
      </c>
      <c r="C15" s="191">
        <v>2006</v>
      </c>
      <c r="D15" s="191">
        <v>2007</v>
      </c>
      <c r="E15" s="191">
        <v>2008</v>
      </c>
      <c r="F15" s="191">
        <v>2009</v>
      </c>
      <c r="G15" s="191">
        <v>2010</v>
      </c>
      <c r="H15" s="191">
        <v>2011</v>
      </c>
      <c r="I15" s="191">
        <v>2012</v>
      </c>
      <c r="J15" s="191">
        <v>2013</v>
      </c>
      <c r="K15" s="191">
        <v>2014</v>
      </c>
      <c r="L15" s="191">
        <v>2015</v>
      </c>
      <c r="M15" s="191">
        <v>2016</v>
      </c>
      <c r="N15" s="191">
        <v>2017</v>
      </c>
      <c r="O15" s="191">
        <v>2018</v>
      </c>
      <c r="P15" s="191">
        <v>2019</v>
      </c>
      <c r="Q15" s="191">
        <v>2020</v>
      </c>
      <c r="R15" s="191">
        <v>2021</v>
      </c>
      <c r="S15" s="191">
        <v>2022</v>
      </c>
      <c r="T15"/>
      <c r="U15"/>
      <c r="V15"/>
      <c r="W15"/>
    </row>
    <row r="16" spans="1:28" ht="15" x14ac:dyDescent="0.25">
      <c r="A16" s="143" t="s">
        <v>1</v>
      </c>
      <c r="B16" s="150">
        <v>10.63</v>
      </c>
      <c r="C16" s="150">
        <v>11.36</v>
      </c>
      <c r="D16" s="150">
        <v>11.07</v>
      </c>
      <c r="E16" s="150">
        <v>11.1</v>
      </c>
      <c r="F16" s="150">
        <v>11.24</v>
      </c>
      <c r="G16" s="150">
        <v>11.98</v>
      </c>
      <c r="H16" s="150">
        <v>12.3</v>
      </c>
      <c r="I16" s="150">
        <v>12.27</v>
      </c>
      <c r="J16" s="150">
        <v>12.22</v>
      </c>
      <c r="K16" s="150">
        <v>11.93</v>
      </c>
      <c r="L16" s="150">
        <v>11.9</v>
      </c>
      <c r="M16" s="150">
        <v>11.95</v>
      </c>
      <c r="N16" s="150">
        <v>12.14</v>
      </c>
      <c r="O16" s="150">
        <v>12.71</v>
      </c>
      <c r="P16" s="150">
        <v>13.09</v>
      </c>
      <c r="Q16" s="150">
        <v>13.5</v>
      </c>
      <c r="R16" s="150">
        <v>13.96</v>
      </c>
      <c r="S16" s="151">
        <v>14.09</v>
      </c>
      <c r="T16"/>
      <c r="U16"/>
      <c r="V16"/>
      <c r="W16"/>
    </row>
    <row r="17" spans="1:23" ht="15" x14ac:dyDescent="0.25">
      <c r="A17" s="143" t="s">
        <v>228</v>
      </c>
      <c r="B17" s="150">
        <v>9.1469948142750006</v>
      </c>
      <c r="C17" s="150">
        <v>9.4138598378600005</v>
      </c>
      <c r="D17" s="150">
        <v>9.6571817522999996</v>
      </c>
      <c r="E17" s="150">
        <v>9.9829763805249989</v>
      </c>
      <c r="F17" s="150">
        <v>10.236425033749999</v>
      </c>
      <c r="G17" s="150">
        <v>10.586753305535002</v>
      </c>
      <c r="H17" s="150">
        <v>10.868000803305002</v>
      </c>
      <c r="I17" s="150">
        <v>11.029074677535</v>
      </c>
      <c r="J17" s="150">
        <v>11.18556834278</v>
      </c>
      <c r="K17" s="150">
        <v>11.365397242075</v>
      </c>
      <c r="L17" s="150">
        <v>11.608575985485</v>
      </c>
      <c r="M17" s="150">
        <v>11.855303834364999</v>
      </c>
      <c r="N17" s="150">
        <v>12.15442310145</v>
      </c>
      <c r="O17" s="150">
        <v>12.564287656449999</v>
      </c>
      <c r="P17" s="150">
        <v>12.98715874735</v>
      </c>
      <c r="Q17" s="150">
        <v>13.501677372250001</v>
      </c>
      <c r="R17" s="150">
        <v>13.546109894800001</v>
      </c>
      <c r="S17" s="151">
        <v>14.91118134925</v>
      </c>
      <c r="T17"/>
      <c r="U17"/>
      <c r="V17"/>
      <c r="W17"/>
    </row>
    <row r="18" spans="1:23" ht="15" x14ac:dyDescent="0.25">
      <c r="B18" s="46"/>
      <c r="C18" s="46"/>
      <c r="D18" s="46"/>
      <c r="E18" s="46"/>
      <c r="F18" s="46"/>
      <c r="G18" s="46"/>
      <c r="H18" s="46"/>
      <c r="I18" s="46"/>
      <c r="J18" s="46"/>
      <c r="K18" s="46"/>
      <c r="L18" s="46"/>
      <c r="M18" s="46"/>
      <c r="N18" s="46"/>
      <c r="O18" s="46"/>
      <c r="P18" s="46"/>
      <c r="Q18" s="46"/>
      <c r="R18" s="46"/>
      <c r="S18" s="46"/>
      <c r="T18"/>
      <c r="U18"/>
      <c r="V18"/>
      <c r="W18"/>
    </row>
    <row r="19" spans="1:23" ht="15" x14ac:dyDescent="0.25">
      <c r="D19" s="1"/>
      <c r="K19" s="40"/>
      <c r="O19" s="1"/>
      <c r="T19"/>
      <c r="U19"/>
      <c r="V19"/>
      <c r="W19"/>
    </row>
    <row r="20" spans="1:23" ht="15.75" x14ac:dyDescent="0.25">
      <c r="A20" s="315" t="s">
        <v>363</v>
      </c>
      <c r="B20" s="315"/>
      <c r="C20" s="315"/>
      <c r="D20" s="315"/>
      <c r="E20" s="315"/>
      <c r="F20" s="315"/>
      <c r="G20" s="315"/>
      <c r="H20" s="315"/>
      <c r="I20" s="315"/>
      <c r="J20" s="315"/>
      <c r="K20" s="315"/>
      <c r="L20" s="315"/>
      <c r="M20" s="315"/>
      <c r="N20" s="315"/>
      <c r="O20" s="315"/>
      <c r="P20" s="315"/>
      <c r="Q20" s="315"/>
      <c r="R20" s="315"/>
      <c r="S20" s="315"/>
      <c r="T20"/>
      <c r="U20"/>
      <c r="V20"/>
      <c r="W20"/>
    </row>
    <row r="21" spans="1:23" ht="15" x14ac:dyDescent="0.25">
      <c r="A21" s="190" t="s">
        <v>188</v>
      </c>
      <c r="B21" s="191">
        <v>2005</v>
      </c>
      <c r="C21" s="191">
        <v>2006</v>
      </c>
      <c r="D21" s="191">
        <v>2007</v>
      </c>
      <c r="E21" s="191">
        <v>2008</v>
      </c>
      <c r="F21" s="191">
        <v>2009</v>
      </c>
      <c r="G21" s="191">
        <v>2010</v>
      </c>
      <c r="H21" s="191">
        <v>2011</v>
      </c>
      <c r="I21" s="191">
        <v>2012</v>
      </c>
      <c r="J21" s="191">
        <v>2013</v>
      </c>
      <c r="K21" s="191">
        <v>2014</v>
      </c>
      <c r="L21" s="191">
        <v>2015</v>
      </c>
      <c r="M21" s="191">
        <v>2016</v>
      </c>
      <c r="N21" s="191">
        <v>2017</v>
      </c>
      <c r="O21" s="191">
        <v>2018</v>
      </c>
      <c r="P21" s="191">
        <v>2019</v>
      </c>
      <c r="Q21" s="191">
        <v>2020</v>
      </c>
      <c r="R21" s="191">
        <v>2021</v>
      </c>
      <c r="S21" s="191">
        <v>2022</v>
      </c>
      <c r="T21"/>
      <c r="U21"/>
      <c r="V21"/>
      <c r="W21"/>
    </row>
    <row r="22" spans="1:23" ht="15" x14ac:dyDescent="0.25">
      <c r="A22" s="143" t="s">
        <v>232</v>
      </c>
      <c r="B22" s="171">
        <f>(B16-B16)/B16</f>
        <v>0</v>
      </c>
      <c r="C22" s="171">
        <f>(C16-B16)/B16</f>
        <v>6.8673565380997045E-2</v>
      </c>
      <c r="D22" s="171">
        <f>(D16-B16)/B16</f>
        <v>4.139228598306674E-2</v>
      </c>
      <c r="E22" s="171">
        <f>(E16-B16)/B16</f>
        <v>4.421448730009396E-2</v>
      </c>
      <c r="F22" s="171">
        <f>(F16-B16)/B16</f>
        <v>5.7384760112887997E-2</v>
      </c>
      <c r="G22" s="171">
        <f>(G16-B16)/B16</f>
        <v>0.12699905926622762</v>
      </c>
      <c r="H22" s="171">
        <f>(H16-B16)/B16</f>
        <v>0.15710253998118531</v>
      </c>
      <c r="I22" s="171">
        <f>(I16-B16)/B16</f>
        <v>0.15428033866415791</v>
      </c>
      <c r="J22" s="171">
        <f>(J16-B16)/B16</f>
        <v>0.14957666980244588</v>
      </c>
      <c r="K22" s="171">
        <f>(K16-B16)/B16</f>
        <v>0.12229539040451541</v>
      </c>
      <c r="L22" s="171">
        <f>(L16-B16)/B16</f>
        <v>0.11947318908748819</v>
      </c>
      <c r="M22" s="171">
        <f>(M16-B16)/B16</f>
        <v>0.12417685794920022</v>
      </c>
      <c r="N22" s="171">
        <f>(N16-B16)/B16</f>
        <v>0.14205079962370645</v>
      </c>
      <c r="O22" s="171">
        <f>(O16-B16)/B16</f>
        <v>0.19567262464722482</v>
      </c>
      <c r="P22" s="171">
        <f>(P16-B16)/B16</f>
        <v>0.23142050799623695</v>
      </c>
      <c r="Q22" s="171">
        <f>(Q16-B16)/B16</f>
        <v>0.26999059266227649</v>
      </c>
      <c r="R22" s="171">
        <f>(R16-B16)/B16</f>
        <v>0.31326434619002819</v>
      </c>
      <c r="S22" s="171">
        <f>(S16-B16)/B16</f>
        <v>0.32549388523047967</v>
      </c>
      <c r="T22"/>
      <c r="U22"/>
      <c r="V22"/>
      <c r="W22"/>
    </row>
    <row r="23" spans="1:23" ht="15" x14ac:dyDescent="0.25">
      <c r="A23" s="143" t="s">
        <v>228</v>
      </c>
      <c r="B23" s="171">
        <f>(B17-B17)/B17</f>
        <v>0</v>
      </c>
      <c r="C23" s="171">
        <f>(C17-B17)/B17</f>
        <v>2.9175158508729496E-2</v>
      </c>
      <c r="D23" s="171">
        <f>(D17-B17)/B17</f>
        <v>5.5776454276413291E-2</v>
      </c>
      <c r="E23" s="171">
        <f>(E17-B17)/B17</f>
        <v>9.139412268446323E-2</v>
      </c>
      <c r="F23" s="171">
        <f>(F17-B17)/B17</f>
        <v>0.11910252947501507</v>
      </c>
      <c r="G23" s="171">
        <f>(G17-B17)/B17</f>
        <v>0.15740235131795224</v>
      </c>
      <c r="H23" s="171">
        <f>(H17-B17)/B17</f>
        <v>0.1881498813516502</v>
      </c>
      <c r="I23" s="171">
        <f>(I17-B17)/B17</f>
        <v>0.20575936703525671</v>
      </c>
      <c r="J23" s="171">
        <f>(J17-B17)/B17</f>
        <v>0.22286811897209746</v>
      </c>
      <c r="K23" s="171">
        <f>(K17-B17)/B17</f>
        <v>0.24252800759632134</v>
      </c>
      <c r="L23" s="171">
        <f>(L17-B17)/B17</f>
        <v>0.26911365111614605</v>
      </c>
      <c r="M23" s="171">
        <f>(M17-B17)/B17</f>
        <v>0.29608730245078441</v>
      </c>
      <c r="N23" s="171">
        <f>(N17-B17)/B17</f>
        <v>0.32878867302751075</v>
      </c>
      <c r="O23" s="171">
        <f>(O17-B17)/B17</f>
        <v>0.37359733022280672</v>
      </c>
      <c r="P23" s="171">
        <f>(P17-B17)/B17</f>
        <v>0.41982793376923699</v>
      </c>
      <c r="Q23" s="171">
        <f>(Q17-B17)/B17</f>
        <v>0.47607795198254477</v>
      </c>
      <c r="R23" s="171">
        <f>(R17-B17)/B17</f>
        <v>0.48093556078764194</v>
      </c>
      <c r="S23" s="171">
        <f>(S17-B17)/B17</f>
        <v>0.63017271267928177</v>
      </c>
      <c r="T23"/>
      <c r="U23"/>
      <c r="V23"/>
      <c r="W23"/>
    </row>
  </sheetData>
  <mergeCells count="5">
    <mergeCell ref="A1:AB1"/>
    <mergeCell ref="A3:W3"/>
    <mergeCell ref="A9:W9"/>
    <mergeCell ref="A14:S14"/>
    <mergeCell ref="A20:S20"/>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D2731-74ED-4422-877F-3EFEDE1F649B}">
  <sheetPr>
    <tabColor rgb="FF609191"/>
  </sheetPr>
  <dimension ref="A1:AI18"/>
  <sheetViews>
    <sheetView zoomScaleNormal="100" workbookViewId="0">
      <selection activeCell="C8" sqref="C8"/>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364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365</v>
      </c>
      <c r="B4" s="320"/>
      <c r="C4" s="320"/>
      <c r="D4" s="320"/>
    </row>
    <row r="5" spans="1:27" ht="15" x14ac:dyDescent="0.25">
      <c r="A5" s="321" t="s">
        <v>211</v>
      </c>
      <c r="B5" s="322"/>
      <c r="C5" s="321" t="s">
        <v>212</v>
      </c>
      <c r="D5" s="321"/>
    </row>
    <row r="6" spans="1:27" x14ac:dyDescent="0.2">
      <c r="A6" s="154" t="s">
        <v>213</v>
      </c>
      <c r="B6" s="155" t="s">
        <v>194</v>
      </c>
      <c r="C6" s="154" t="s">
        <v>213</v>
      </c>
      <c r="D6" s="156" t="s">
        <v>194</v>
      </c>
    </row>
    <row r="7" spans="1:27" x14ac:dyDescent="0.2">
      <c r="A7" s="1" t="s">
        <v>366</v>
      </c>
      <c r="B7" s="157">
        <f>15662/93828</f>
        <v>0.16692245385172869</v>
      </c>
      <c r="C7" s="1" t="s">
        <v>366</v>
      </c>
      <c r="D7" s="158">
        <f>16491/93828</f>
        <v>0.17575776953574626</v>
      </c>
    </row>
    <row r="8" spans="1:27" x14ac:dyDescent="0.2">
      <c r="A8" s="1" t="s">
        <v>216</v>
      </c>
      <c r="B8" s="157">
        <f>9660/93828</f>
        <v>0.10295434198746643</v>
      </c>
      <c r="C8" s="1" t="s">
        <v>216</v>
      </c>
      <c r="D8" s="158">
        <f>12670/93828</f>
        <v>0.13503431811399583</v>
      </c>
    </row>
    <row r="9" spans="1:27" x14ac:dyDescent="0.2">
      <c r="A9" s="1" t="s">
        <v>217</v>
      </c>
      <c r="B9" s="157">
        <f>9009/93828</f>
        <v>9.6016114592658908E-2</v>
      </c>
      <c r="C9" s="1" t="s">
        <v>367</v>
      </c>
      <c r="D9" s="158">
        <f>11071/93828</f>
        <v>0.11799249690923819</v>
      </c>
    </row>
    <row r="10" spans="1:27" x14ac:dyDescent="0.2">
      <c r="A10" s="1" t="s">
        <v>222</v>
      </c>
      <c r="B10" s="157">
        <f>8580/93828</f>
        <v>9.1443918659675147E-2</v>
      </c>
      <c r="C10" s="1" t="s">
        <v>217</v>
      </c>
      <c r="D10" s="158">
        <f>10193/93828</f>
        <v>0.10863494905571898</v>
      </c>
    </row>
    <row r="11" spans="1:27" x14ac:dyDescent="0.2">
      <c r="A11" s="1" t="s">
        <v>368</v>
      </c>
      <c r="B11" s="157">
        <f>7361/93828</f>
        <v>7.8452061218399621E-2</v>
      </c>
      <c r="C11" s="1" t="s">
        <v>368</v>
      </c>
      <c r="D11" s="158">
        <f>9513/93828</f>
        <v>0.10138764547896151</v>
      </c>
    </row>
    <row r="12" spans="1:27" x14ac:dyDescent="0.2">
      <c r="A12" s="1" t="s">
        <v>224</v>
      </c>
      <c r="B12" s="157">
        <f>7153/93828</f>
        <v>7.623523894786205E-2</v>
      </c>
      <c r="C12" s="1" t="s">
        <v>222</v>
      </c>
      <c r="D12" s="158">
        <f>9335/93828</f>
        <v>9.9490557189751458E-2</v>
      </c>
    </row>
    <row r="13" spans="1:27" x14ac:dyDescent="0.2">
      <c r="A13" s="1" t="s">
        <v>367</v>
      </c>
      <c r="B13" s="157">
        <f>5665/93828</f>
        <v>6.0376433474016285E-2</v>
      </c>
      <c r="C13" s="1" t="s">
        <v>223</v>
      </c>
      <c r="D13" s="158">
        <f>5284/93828</f>
        <v>5.6315811911156581E-2</v>
      </c>
    </row>
    <row r="14" spans="1:27" x14ac:dyDescent="0.2">
      <c r="A14" s="1" t="s">
        <v>218</v>
      </c>
      <c r="B14" s="157">
        <f>5453/93828</f>
        <v>5.811698000596837E-2</v>
      </c>
      <c r="C14" s="1" t="s">
        <v>224</v>
      </c>
      <c r="D14" s="158">
        <f>5144/93828</f>
        <v>5.4823719998294752E-2</v>
      </c>
    </row>
    <row r="15" spans="1:27" x14ac:dyDescent="0.2">
      <c r="A15" s="1" t="s">
        <v>369</v>
      </c>
      <c r="B15" s="157">
        <f>5386/93828</f>
        <v>5.7402907447670203E-2</v>
      </c>
      <c r="C15" s="1" t="s">
        <v>214</v>
      </c>
      <c r="D15" s="158">
        <f>5128/93828</f>
        <v>5.4653195208253402E-2</v>
      </c>
    </row>
    <row r="16" spans="1:27" x14ac:dyDescent="0.2">
      <c r="A16" s="1" t="s">
        <v>223</v>
      </c>
      <c r="B16" s="157">
        <f>5059/93828</f>
        <v>5.391780705120007E-2</v>
      </c>
      <c r="C16" s="1" t="s">
        <v>219</v>
      </c>
      <c r="D16" s="158">
        <f>5119/93828</f>
        <v>5.4557275013855142E-2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621D9-C145-4A98-B1F5-5F973BCA4E3B}">
  <sheetPr>
    <tabColor rgb="FF609191"/>
  </sheetPr>
  <dimension ref="A1:AI79"/>
  <sheetViews>
    <sheetView zoomScaleNormal="100" workbookViewId="0">
      <selection activeCell="B2" sqref="B2"/>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370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4" t="s">
        <v>371</v>
      </c>
      <c r="B3" s="194"/>
      <c r="C3" s="194"/>
      <c r="D3" s="194"/>
      <c r="F3" s="320" t="s">
        <v>372</v>
      </c>
      <c r="G3" s="320"/>
      <c r="H3" s="320"/>
    </row>
    <row r="4" spans="1:27" ht="28.5" x14ac:dyDescent="0.2">
      <c r="A4" s="192" t="s">
        <v>236</v>
      </c>
      <c r="B4" s="192" t="s">
        <v>237</v>
      </c>
      <c r="C4" s="193" t="s">
        <v>238</v>
      </c>
      <c r="D4" s="1"/>
      <c r="F4" s="192" t="s">
        <v>239</v>
      </c>
      <c r="G4" s="193" t="s">
        <v>240</v>
      </c>
      <c r="H4" s="37" t="s">
        <v>241</v>
      </c>
      <c r="O4" s="1"/>
    </row>
    <row r="5" spans="1:27" x14ac:dyDescent="0.2">
      <c r="A5" s="160">
        <v>43313</v>
      </c>
      <c r="B5" s="159">
        <v>709</v>
      </c>
      <c r="C5" s="82">
        <v>11.75</v>
      </c>
      <c r="D5" s="1"/>
      <c r="F5" s="1" t="s">
        <v>373</v>
      </c>
      <c r="G5" s="159">
        <v>437</v>
      </c>
      <c r="H5" s="206" t="s">
        <v>374</v>
      </c>
      <c r="O5" s="1"/>
    </row>
    <row r="6" spans="1:27" x14ac:dyDescent="0.2">
      <c r="A6" s="160">
        <v>43344</v>
      </c>
      <c r="B6" s="159">
        <v>887</v>
      </c>
      <c r="C6" s="82">
        <v>12</v>
      </c>
      <c r="D6" s="1"/>
      <c r="F6" s="1" t="s">
        <v>242</v>
      </c>
      <c r="G6" s="159">
        <v>370</v>
      </c>
      <c r="H6" s="206" t="s">
        <v>375</v>
      </c>
      <c r="O6" s="1"/>
    </row>
    <row r="7" spans="1:27" x14ac:dyDescent="0.2">
      <c r="A7" s="160">
        <v>43374</v>
      </c>
      <c r="B7" s="159">
        <v>972</v>
      </c>
      <c r="C7" s="82">
        <v>12.06</v>
      </c>
      <c r="D7" s="1"/>
      <c r="F7" s="1" t="s">
        <v>244</v>
      </c>
      <c r="G7" s="159">
        <v>266</v>
      </c>
      <c r="H7" s="206" t="s">
        <v>258</v>
      </c>
      <c r="O7" s="1"/>
    </row>
    <row r="8" spans="1:27" x14ac:dyDescent="0.2">
      <c r="A8" s="160">
        <v>43405</v>
      </c>
      <c r="B8" s="159">
        <v>871</v>
      </c>
      <c r="C8" s="82">
        <v>12.18</v>
      </c>
      <c r="D8" s="1"/>
      <c r="F8" s="1" t="s">
        <v>376</v>
      </c>
      <c r="G8" s="159">
        <v>156</v>
      </c>
      <c r="H8" s="206" t="s">
        <v>377</v>
      </c>
      <c r="O8" s="1"/>
    </row>
    <row r="9" spans="1:27" x14ac:dyDescent="0.2">
      <c r="A9" s="160">
        <v>43435</v>
      </c>
      <c r="B9" s="159">
        <v>896</v>
      </c>
      <c r="C9" s="82">
        <v>12.12</v>
      </c>
      <c r="D9" s="1"/>
      <c r="F9" s="1" t="s">
        <v>378</v>
      </c>
      <c r="G9" s="159">
        <v>138</v>
      </c>
      <c r="H9" s="206" t="s">
        <v>243</v>
      </c>
      <c r="O9" s="1"/>
    </row>
    <row r="10" spans="1:27" x14ac:dyDescent="0.2">
      <c r="A10" s="160">
        <v>43466</v>
      </c>
      <c r="B10" s="159">
        <v>822</v>
      </c>
      <c r="C10" s="82">
        <v>11.75</v>
      </c>
      <c r="D10" s="1"/>
      <c r="F10" s="1" t="s">
        <v>379</v>
      </c>
      <c r="G10" s="159">
        <v>120</v>
      </c>
      <c r="H10" s="206" t="s">
        <v>380</v>
      </c>
      <c r="O10" s="1"/>
    </row>
    <row r="11" spans="1:27" x14ac:dyDescent="0.2">
      <c r="A11" s="160">
        <v>43497</v>
      </c>
      <c r="B11" s="159">
        <v>824</v>
      </c>
      <c r="C11" s="82">
        <v>11.63</v>
      </c>
      <c r="D11" s="1"/>
      <c r="F11" s="1" t="s">
        <v>255</v>
      </c>
      <c r="G11" s="159">
        <v>92</v>
      </c>
      <c r="H11" s="206" t="s">
        <v>381</v>
      </c>
      <c r="O11" s="1"/>
    </row>
    <row r="12" spans="1:27" x14ac:dyDescent="0.2">
      <c r="A12" s="160">
        <v>43525</v>
      </c>
      <c r="B12" s="159">
        <v>986</v>
      </c>
      <c r="C12" s="82">
        <v>11.63</v>
      </c>
      <c r="D12" s="1"/>
      <c r="F12" s="1" t="s">
        <v>382</v>
      </c>
      <c r="G12" s="159">
        <v>71</v>
      </c>
      <c r="H12" s="206" t="s">
        <v>375</v>
      </c>
      <c r="O12" s="1"/>
    </row>
    <row r="13" spans="1:27" x14ac:dyDescent="0.2">
      <c r="A13" s="160">
        <v>43556</v>
      </c>
      <c r="B13" s="159">
        <v>948</v>
      </c>
      <c r="C13" s="82">
        <v>11.45</v>
      </c>
      <c r="D13" s="1"/>
      <c r="F13" s="1" t="s">
        <v>253</v>
      </c>
      <c r="G13" s="159">
        <v>65</v>
      </c>
      <c r="H13" s="206" t="s">
        <v>381</v>
      </c>
      <c r="O13" s="1"/>
    </row>
    <row r="14" spans="1:27" x14ac:dyDescent="0.2">
      <c r="A14" s="160">
        <v>43586</v>
      </c>
      <c r="B14" s="159">
        <v>915</v>
      </c>
      <c r="C14" s="82">
        <v>11.45</v>
      </c>
      <c r="D14" s="1"/>
      <c r="F14" s="1" t="s">
        <v>383</v>
      </c>
      <c r="G14" s="159">
        <v>65</v>
      </c>
      <c r="H14" s="206" t="s">
        <v>384</v>
      </c>
      <c r="O14" s="1"/>
    </row>
    <row r="15" spans="1:27" x14ac:dyDescent="0.2">
      <c r="A15" s="160">
        <v>43617</v>
      </c>
      <c r="B15" s="159">
        <v>771</v>
      </c>
      <c r="C15" s="82">
        <v>11.69</v>
      </c>
      <c r="D15" s="1"/>
      <c r="O15" s="1"/>
    </row>
    <row r="16" spans="1:27" x14ac:dyDescent="0.2">
      <c r="A16" s="160">
        <v>43647</v>
      </c>
      <c r="B16" s="159">
        <v>788</v>
      </c>
      <c r="C16" s="82">
        <v>12</v>
      </c>
      <c r="D16" s="1"/>
      <c r="O16" s="1"/>
    </row>
    <row r="17" spans="1:15" x14ac:dyDescent="0.2">
      <c r="A17" s="160">
        <v>43678</v>
      </c>
      <c r="B17" s="159">
        <v>1061</v>
      </c>
      <c r="C17" s="82">
        <v>11.82</v>
      </c>
      <c r="D17" s="1"/>
      <c r="O17" s="1"/>
    </row>
    <row r="18" spans="1:15" x14ac:dyDescent="0.2">
      <c r="A18" s="160">
        <v>43709</v>
      </c>
      <c r="B18" s="159">
        <v>1218</v>
      </c>
      <c r="C18" s="82">
        <v>11.82</v>
      </c>
      <c r="D18" s="1"/>
      <c r="I18" s="39"/>
      <c r="O18" s="1"/>
    </row>
    <row r="19" spans="1:15" x14ac:dyDescent="0.2">
      <c r="A19" s="160">
        <v>43739</v>
      </c>
      <c r="B19" s="159">
        <v>1212</v>
      </c>
      <c r="C19" s="82">
        <v>11.75</v>
      </c>
      <c r="D19" s="1"/>
      <c r="I19" s="39"/>
      <c r="O19" s="1"/>
    </row>
    <row r="20" spans="1:15" x14ac:dyDescent="0.2">
      <c r="A20" s="160">
        <v>43770</v>
      </c>
      <c r="B20" s="159">
        <v>1020</v>
      </c>
      <c r="C20" s="82">
        <v>11.82</v>
      </c>
      <c r="D20" s="1"/>
      <c r="I20" s="39"/>
      <c r="O20" s="1"/>
    </row>
    <row r="21" spans="1:15" x14ac:dyDescent="0.2">
      <c r="A21" s="160">
        <v>43800</v>
      </c>
      <c r="B21" s="159">
        <v>969</v>
      </c>
      <c r="C21" s="82">
        <v>11.82</v>
      </c>
      <c r="D21" s="1"/>
      <c r="I21" s="39"/>
      <c r="O21" s="1"/>
    </row>
    <row r="22" spans="1:15" x14ac:dyDescent="0.2">
      <c r="A22" s="160">
        <v>43831</v>
      </c>
      <c r="B22" s="159">
        <v>961</v>
      </c>
      <c r="C22" s="82">
        <v>11.45</v>
      </c>
      <c r="D22" s="1"/>
      <c r="I22" s="39"/>
      <c r="O22" s="1"/>
    </row>
    <row r="23" spans="1:15" x14ac:dyDescent="0.2">
      <c r="A23" s="160">
        <v>43862</v>
      </c>
      <c r="B23" s="159">
        <v>945</v>
      </c>
      <c r="C23" s="82">
        <v>11.75</v>
      </c>
      <c r="D23" s="1"/>
      <c r="O23" s="1"/>
    </row>
    <row r="24" spans="1:15" x14ac:dyDescent="0.2">
      <c r="A24" s="160">
        <v>43891</v>
      </c>
      <c r="B24" s="159">
        <v>894</v>
      </c>
      <c r="C24" s="82">
        <v>11.75</v>
      </c>
      <c r="D24" s="1"/>
      <c r="O24" s="1"/>
    </row>
    <row r="25" spans="1:15" x14ac:dyDescent="0.2">
      <c r="A25" s="160">
        <v>43922</v>
      </c>
      <c r="B25" s="159">
        <v>641</v>
      </c>
      <c r="C25" s="82">
        <v>12</v>
      </c>
      <c r="D25" s="1"/>
      <c r="O25" s="1"/>
    </row>
    <row r="26" spans="1:15" x14ac:dyDescent="0.2">
      <c r="A26" s="160">
        <v>43952</v>
      </c>
      <c r="B26" s="159">
        <v>409</v>
      </c>
      <c r="C26" s="82">
        <v>11.69</v>
      </c>
      <c r="D26" s="1"/>
      <c r="O26" s="1"/>
    </row>
    <row r="27" spans="1:15" x14ac:dyDescent="0.2">
      <c r="A27" s="160">
        <v>43983</v>
      </c>
      <c r="B27" s="159">
        <v>509</v>
      </c>
      <c r="C27" s="82">
        <v>11.2</v>
      </c>
      <c r="D27" s="1"/>
      <c r="O27" s="1"/>
    </row>
    <row r="28" spans="1:15" x14ac:dyDescent="0.2">
      <c r="A28" s="160">
        <v>44013</v>
      </c>
      <c r="B28" s="159">
        <v>723</v>
      </c>
      <c r="C28" s="82">
        <v>11.32</v>
      </c>
      <c r="D28" s="1"/>
      <c r="O28" s="1"/>
    </row>
    <row r="29" spans="1:15" x14ac:dyDescent="0.2">
      <c r="A29" s="160">
        <v>44044</v>
      </c>
      <c r="B29" s="159">
        <v>1035</v>
      </c>
      <c r="C29" s="82">
        <v>11.45</v>
      </c>
      <c r="D29" s="1"/>
      <c r="O29" s="1"/>
    </row>
    <row r="30" spans="1:15" x14ac:dyDescent="0.2">
      <c r="A30" s="160">
        <v>44075</v>
      </c>
      <c r="B30" s="159">
        <v>1288</v>
      </c>
      <c r="C30" s="82">
        <v>11.45</v>
      </c>
      <c r="D30" s="1"/>
      <c r="O30" s="1"/>
    </row>
    <row r="31" spans="1:15" x14ac:dyDescent="0.2">
      <c r="A31" s="160">
        <v>44105</v>
      </c>
      <c r="B31" s="159">
        <v>1561</v>
      </c>
      <c r="C31" s="82">
        <v>11.45</v>
      </c>
      <c r="D31" s="1"/>
      <c r="O31" s="1"/>
    </row>
    <row r="32" spans="1:15" x14ac:dyDescent="0.2">
      <c r="A32" s="160">
        <v>44136</v>
      </c>
      <c r="B32" s="159">
        <v>1328</v>
      </c>
      <c r="C32" s="82">
        <v>11.69</v>
      </c>
      <c r="D32" s="1"/>
      <c r="O32" s="1"/>
    </row>
    <row r="33" spans="1:15" x14ac:dyDescent="0.2">
      <c r="A33" s="160">
        <v>44166</v>
      </c>
      <c r="B33" s="159">
        <v>1192</v>
      </c>
      <c r="C33" s="82">
        <v>11.88</v>
      </c>
      <c r="D33" s="1"/>
      <c r="O33" s="1"/>
    </row>
    <row r="34" spans="1:15" x14ac:dyDescent="0.2">
      <c r="A34" s="160">
        <v>44197</v>
      </c>
      <c r="B34" s="159">
        <v>1142</v>
      </c>
      <c r="C34" s="82">
        <v>12</v>
      </c>
      <c r="D34" s="1"/>
      <c r="O34" s="1"/>
    </row>
    <row r="35" spans="1:15" x14ac:dyDescent="0.2">
      <c r="A35" s="160">
        <v>44228</v>
      </c>
      <c r="B35" s="159">
        <v>1176</v>
      </c>
      <c r="C35" s="82">
        <v>12.31</v>
      </c>
      <c r="D35" s="1"/>
      <c r="O35" s="1"/>
    </row>
    <row r="36" spans="1:15" x14ac:dyDescent="0.2">
      <c r="A36" s="160">
        <v>44256</v>
      </c>
      <c r="B36" s="159">
        <v>1350</v>
      </c>
      <c r="C36" s="82">
        <v>12</v>
      </c>
      <c r="D36" s="1"/>
      <c r="O36" s="1"/>
    </row>
    <row r="37" spans="1:15" x14ac:dyDescent="0.2">
      <c r="A37" s="160">
        <v>44287</v>
      </c>
      <c r="B37" s="159">
        <v>1217</v>
      </c>
      <c r="C37" s="82">
        <v>12.25</v>
      </c>
      <c r="D37" s="1"/>
      <c r="O37" s="1"/>
    </row>
    <row r="38" spans="1:15" x14ac:dyDescent="0.2">
      <c r="A38" s="160">
        <v>44317</v>
      </c>
      <c r="B38" s="159">
        <v>1167</v>
      </c>
      <c r="C38" s="82">
        <v>12.12</v>
      </c>
      <c r="D38" s="1"/>
      <c r="O38" s="1"/>
    </row>
    <row r="39" spans="1:15" x14ac:dyDescent="0.2">
      <c r="A39" s="160">
        <v>44348</v>
      </c>
      <c r="B39" s="159">
        <v>1088</v>
      </c>
      <c r="C39" s="82">
        <v>12.25</v>
      </c>
      <c r="D39" s="1"/>
      <c r="O39" s="1"/>
    </row>
    <row r="40" spans="1:15" x14ac:dyDescent="0.2">
      <c r="A40" s="160">
        <v>44378</v>
      </c>
      <c r="B40" s="159">
        <v>1215</v>
      </c>
      <c r="C40" s="82">
        <v>12.43</v>
      </c>
      <c r="D40" s="1"/>
      <c r="O40" s="1"/>
    </row>
    <row r="41" spans="1:15" x14ac:dyDescent="0.2">
      <c r="A41" s="160">
        <v>44409</v>
      </c>
      <c r="B41" s="159">
        <v>1547</v>
      </c>
      <c r="C41" s="82">
        <v>12.68</v>
      </c>
      <c r="D41" s="1"/>
      <c r="O41" s="1"/>
    </row>
    <row r="42" spans="1:15" x14ac:dyDescent="0.2">
      <c r="A42" s="160">
        <v>44440</v>
      </c>
      <c r="B42" s="159">
        <v>1691</v>
      </c>
      <c r="C42" s="82">
        <v>12.74</v>
      </c>
      <c r="D42" s="1"/>
      <c r="O42" s="1"/>
    </row>
    <row r="43" spans="1:15" x14ac:dyDescent="0.2">
      <c r="A43" s="160">
        <v>44470</v>
      </c>
      <c r="B43" s="159">
        <v>1758</v>
      </c>
      <c r="C43" s="82">
        <v>12.98</v>
      </c>
      <c r="D43" s="1"/>
      <c r="O43" s="1"/>
    </row>
    <row r="44" spans="1:15" x14ac:dyDescent="0.2">
      <c r="A44" s="160">
        <v>44501</v>
      </c>
      <c r="B44" s="159">
        <v>1537</v>
      </c>
      <c r="C44" s="82">
        <v>12.98</v>
      </c>
      <c r="D44" s="1"/>
      <c r="O44" s="1"/>
    </row>
    <row r="45" spans="1:15" x14ac:dyDescent="0.2">
      <c r="A45" s="160">
        <v>44531</v>
      </c>
      <c r="B45" s="159">
        <v>1411</v>
      </c>
      <c r="C45" s="82">
        <v>13.35</v>
      </c>
      <c r="D45" s="1"/>
      <c r="O45" s="1"/>
    </row>
    <row r="46" spans="1:15" x14ac:dyDescent="0.2">
      <c r="A46" s="160">
        <v>44562</v>
      </c>
      <c r="B46" s="159">
        <v>1251</v>
      </c>
      <c r="C46" s="82">
        <v>13.6</v>
      </c>
      <c r="D46" s="1"/>
      <c r="O46" s="1"/>
    </row>
    <row r="47" spans="1:15" x14ac:dyDescent="0.2">
      <c r="A47" s="160">
        <v>44593</v>
      </c>
      <c r="B47" s="159">
        <v>1262</v>
      </c>
      <c r="C47" s="82">
        <v>13.72</v>
      </c>
      <c r="D47" s="1"/>
      <c r="O47" s="1"/>
    </row>
    <row r="48" spans="1:15" x14ac:dyDescent="0.2">
      <c r="A48" s="160">
        <v>44621</v>
      </c>
      <c r="B48" s="159">
        <v>1265</v>
      </c>
      <c r="C48" s="82">
        <v>13.72</v>
      </c>
      <c r="D48" s="1"/>
      <c r="O48" s="1"/>
    </row>
    <row r="49" spans="1:15" x14ac:dyDescent="0.2">
      <c r="A49" s="160">
        <v>44652</v>
      </c>
      <c r="B49" s="159">
        <v>1092</v>
      </c>
      <c r="C49" s="82">
        <v>13.78</v>
      </c>
      <c r="D49" s="1"/>
      <c r="O49" s="1"/>
    </row>
    <row r="50" spans="1:15" x14ac:dyDescent="0.2">
      <c r="A50" s="160">
        <v>44682</v>
      </c>
      <c r="B50" s="159">
        <v>1012</v>
      </c>
      <c r="C50" s="82">
        <v>13.48</v>
      </c>
      <c r="D50" s="1"/>
      <c r="O50" s="1"/>
    </row>
    <row r="51" spans="1:15" x14ac:dyDescent="0.2">
      <c r="A51" s="160">
        <v>44713</v>
      </c>
      <c r="B51" s="159">
        <v>1053</v>
      </c>
      <c r="C51" s="82">
        <v>13.48</v>
      </c>
      <c r="D51" s="1"/>
      <c r="O51" s="1"/>
    </row>
    <row r="52" spans="1:15" x14ac:dyDescent="0.2">
      <c r="A52" s="160">
        <v>44743</v>
      </c>
      <c r="B52" s="159">
        <v>1279</v>
      </c>
      <c r="C52" s="82">
        <v>13.97</v>
      </c>
      <c r="D52" s="1"/>
      <c r="O52" s="1"/>
    </row>
    <row r="53" spans="1:15" x14ac:dyDescent="0.2">
      <c r="A53" s="160">
        <v>44774</v>
      </c>
      <c r="B53" s="159">
        <v>1454</v>
      </c>
      <c r="C53" s="82">
        <v>14.03</v>
      </c>
      <c r="D53" s="1"/>
      <c r="O53" s="1"/>
    </row>
    <row r="54" spans="1:15" x14ac:dyDescent="0.2">
      <c r="A54" s="160">
        <v>44805</v>
      </c>
      <c r="B54" s="159">
        <v>1355</v>
      </c>
      <c r="C54" s="82">
        <v>14.22</v>
      </c>
      <c r="D54" s="1"/>
      <c r="O54" s="1"/>
    </row>
    <row r="55" spans="1:15" x14ac:dyDescent="0.2">
      <c r="A55" s="160">
        <v>44835</v>
      </c>
      <c r="B55" s="159">
        <v>1376</v>
      </c>
      <c r="C55" s="82">
        <v>14.15</v>
      </c>
      <c r="D55" s="1"/>
      <c r="O55" s="1"/>
    </row>
    <row r="56" spans="1:15" x14ac:dyDescent="0.2">
      <c r="A56" s="160">
        <v>44866</v>
      </c>
      <c r="B56" s="159">
        <v>1196</v>
      </c>
      <c r="C56" s="82">
        <v>14.22</v>
      </c>
      <c r="D56" s="161"/>
      <c r="O56" s="1"/>
    </row>
    <row r="57" spans="1:15" x14ac:dyDescent="0.2">
      <c r="A57" s="160">
        <v>44896</v>
      </c>
      <c r="B57" s="159">
        <v>1197</v>
      </c>
      <c r="C57" s="82">
        <v>14.22</v>
      </c>
      <c r="D57" s="1"/>
      <c r="O57" s="1"/>
    </row>
    <row r="58" spans="1:15" x14ac:dyDescent="0.2">
      <c r="A58" s="160">
        <v>44927</v>
      </c>
      <c r="B58" s="159">
        <v>988</v>
      </c>
      <c r="C58" s="82">
        <v>14.22</v>
      </c>
      <c r="D58" s="1"/>
      <c r="O58" s="1"/>
    </row>
    <row r="59" spans="1:15" x14ac:dyDescent="0.2">
      <c r="A59" s="160">
        <v>44958</v>
      </c>
      <c r="B59" s="159">
        <v>872</v>
      </c>
      <c r="C59" s="82">
        <v>14.77</v>
      </c>
      <c r="D59" s="1"/>
      <c r="O59" s="1"/>
    </row>
    <row r="60" spans="1:15" x14ac:dyDescent="0.2">
      <c r="A60" s="160">
        <v>44986</v>
      </c>
      <c r="B60" s="159">
        <v>853</v>
      </c>
      <c r="C60" s="82">
        <v>14.46</v>
      </c>
      <c r="D60" s="1"/>
      <c r="O60" s="1"/>
    </row>
    <row r="61" spans="1:15" x14ac:dyDescent="0.2">
      <c r="A61" s="160">
        <v>45017</v>
      </c>
      <c r="B61" s="159">
        <v>905</v>
      </c>
      <c r="C61" s="82">
        <v>14.52</v>
      </c>
      <c r="D61" s="1"/>
      <c r="O61" s="1"/>
    </row>
    <row r="62" spans="1:15" x14ac:dyDescent="0.2">
      <c r="A62" s="160">
        <v>45047</v>
      </c>
      <c r="B62" s="159">
        <v>810</v>
      </c>
      <c r="C62" s="82">
        <v>14.46</v>
      </c>
      <c r="D62" s="1"/>
      <c r="O62" s="1"/>
    </row>
    <row r="63" spans="1:15" x14ac:dyDescent="0.2">
      <c r="A63" s="160">
        <v>45078</v>
      </c>
      <c r="B63" s="159">
        <v>853</v>
      </c>
      <c r="C63" s="82">
        <v>14.46</v>
      </c>
      <c r="D63" s="1"/>
      <c r="O63" s="1"/>
    </row>
    <row r="64" spans="1:15" x14ac:dyDescent="0.2">
      <c r="A64" s="160">
        <v>45108</v>
      </c>
      <c r="B64" s="159">
        <v>963</v>
      </c>
      <c r="C64" s="82">
        <v>14.89</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4DCF-9079-4992-A76E-DEC277E51A6E}">
  <sheetPr>
    <tabColor rgb="FF609191"/>
  </sheetPr>
  <dimension ref="A1:AG78"/>
  <sheetViews>
    <sheetView zoomScaleNormal="100" workbookViewId="0">
      <selection activeCell="C8" sqref="C8"/>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9.140625" style="39" bestFit="1"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385</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25" ht="15" x14ac:dyDescent="0.25">
      <c r="A3" s="320" t="s">
        <v>386</v>
      </c>
      <c r="B3" s="320"/>
      <c r="C3" s="320"/>
      <c r="D3" s="320"/>
      <c r="E3" s="194"/>
    </row>
    <row r="4" spans="1:25" x14ac:dyDescent="0.2">
      <c r="A4" s="192" t="s">
        <v>262</v>
      </c>
      <c r="B4" s="207" t="s">
        <v>159</v>
      </c>
      <c r="C4" s="37" t="s">
        <v>263</v>
      </c>
      <c r="D4" s="37" t="s">
        <v>264</v>
      </c>
      <c r="E4" s="1"/>
      <c r="M4" s="1"/>
    </row>
    <row r="5" spans="1:25" x14ac:dyDescent="0.2">
      <c r="A5" s="196" t="s">
        <v>268</v>
      </c>
      <c r="B5" s="159">
        <v>1718.0338154900001</v>
      </c>
      <c r="C5" s="195">
        <v>1348.0885750699999</v>
      </c>
      <c r="D5" s="195">
        <v>369.94524042400002</v>
      </c>
      <c r="E5" s="1"/>
      <c r="M5" s="1"/>
    </row>
    <row r="6" spans="1:25" x14ac:dyDescent="0.2">
      <c r="A6" s="196" t="s">
        <v>266</v>
      </c>
      <c r="B6" s="159">
        <v>1115.3535965399999</v>
      </c>
      <c r="C6" s="195">
        <v>882.84601963900002</v>
      </c>
      <c r="D6" s="195">
        <v>232.50757690099999</v>
      </c>
      <c r="E6" s="1"/>
      <c r="M6" s="1"/>
    </row>
    <row r="7" spans="1:25" x14ac:dyDescent="0.2">
      <c r="A7" s="196" t="s">
        <v>267</v>
      </c>
      <c r="B7" s="159">
        <v>603.86886812600005</v>
      </c>
      <c r="C7" s="195">
        <v>399.154779082</v>
      </c>
      <c r="D7" s="195">
        <v>204.71408904500001</v>
      </c>
      <c r="E7" s="1"/>
      <c r="M7" s="1"/>
    </row>
    <row r="8" spans="1:25" x14ac:dyDescent="0.2">
      <c r="A8" s="196" t="s">
        <v>269</v>
      </c>
      <c r="B8" s="159">
        <v>370.127651254</v>
      </c>
      <c r="C8" s="195">
        <v>326.00974939100001</v>
      </c>
      <c r="D8" s="195">
        <v>44.117901863500002</v>
      </c>
      <c r="E8" s="1"/>
      <c r="M8" s="1"/>
    </row>
    <row r="9" spans="1:25" x14ac:dyDescent="0.2">
      <c r="A9" s="196" t="s">
        <v>312</v>
      </c>
      <c r="B9" s="159">
        <v>391.36098565499998</v>
      </c>
      <c r="C9" s="195">
        <v>359.97275407199999</v>
      </c>
      <c r="D9" s="195">
        <v>31.388231583</v>
      </c>
      <c r="E9" s="1"/>
      <c r="M9" s="1"/>
    </row>
    <row r="10" spans="1:25" x14ac:dyDescent="0.2">
      <c r="A10" s="196" t="s">
        <v>306</v>
      </c>
      <c r="B10" s="159">
        <v>219.57461876400001</v>
      </c>
      <c r="C10" s="195">
        <v>209.380126295</v>
      </c>
      <c r="D10" s="195">
        <v>10.1944924689</v>
      </c>
      <c r="E10" s="1"/>
      <c r="M10" s="1"/>
    </row>
    <row r="11" spans="1:25" x14ac:dyDescent="0.2">
      <c r="A11" s="196" t="s">
        <v>273</v>
      </c>
      <c r="B11" s="159">
        <v>18.948306028200001</v>
      </c>
      <c r="C11" s="195">
        <v>13.140520907399999</v>
      </c>
      <c r="D11" s="195">
        <v>5.8077851208500002</v>
      </c>
      <c r="E11" s="1"/>
      <c r="M11" s="1"/>
    </row>
    <row r="12" spans="1:25" x14ac:dyDescent="0.2">
      <c r="A12" s="196" t="s">
        <v>289</v>
      </c>
      <c r="B12" s="159">
        <v>25.1860180336</v>
      </c>
      <c r="C12" s="195">
        <v>20.659498021899999</v>
      </c>
      <c r="D12" s="195">
        <v>4.5265200117499997</v>
      </c>
      <c r="E12" s="1"/>
      <c r="M12" s="1"/>
    </row>
    <row r="13" spans="1:25" x14ac:dyDescent="0.2">
      <c r="A13" s="196" t="s">
        <v>318</v>
      </c>
      <c r="B13" s="159">
        <v>56.722947802</v>
      </c>
      <c r="C13" s="195">
        <v>53.044112979200001</v>
      </c>
      <c r="D13" s="195">
        <v>3.6788348228399999</v>
      </c>
      <c r="E13" s="1"/>
      <c r="M13" s="1"/>
    </row>
    <row r="14" spans="1:25" x14ac:dyDescent="0.2">
      <c r="A14" s="196" t="s">
        <v>276</v>
      </c>
      <c r="B14" s="159">
        <v>110.15636872499999</v>
      </c>
      <c r="C14" s="195">
        <v>106.795004252</v>
      </c>
      <c r="D14" s="195">
        <v>3.3613644730000001</v>
      </c>
      <c r="E14" s="1"/>
      <c r="M14" s="1"/>
    </row>
    <row r="15" spans="1:25" x14ac:dyDescent="0.2">
      <c r="A15" s="196" t="s">
        <v>301</v>
      </c>
      <c r="B15" s="159">
        <v>45.083974399699997</v>
      </c>
      <c r="C15" s="195">
        <v>43.120360758700002</v>
      </c>
      <c r="D15" s="195">
        <v>1.96361364107</v>
      </c>
      <c r="E15" s="1"/>
      <c r="M15" s="1"/>
    </row>
    <row r="16" spans="1:25" x14ac:dyDescent="0.2">
      <c r="A16" s="196" t="s">
        <v>330</v>
      </c>
      <c r="B16" s="159">
        <v>182.985972256</v>
      </c>
      <c r="C16" s="195">
        <v>181.32832760900001</v>
      </c>
      <c r="D16" s="195">
        <v>1.6576446471999999</v>
      </c>
      <c r="E16" s="1"/>
      <c r="M16" s="1"/>
    </row>
    <row r="17" spans="1:13" x14ac:dyDescent="0.2">
      <c r="A17" s="196" t="s">
        <v>315</v>
      </c>
      <c r="B17" s="159">
        <v>33.100615265800002</v>
      </c>
      <c r="C17" s="195">
        <v>31.847425356900001</v>
      </c>
      <c r="D17" s="195">
        <v>1.2531899088</v>
      </c>
      <c r="E17" s="1"/>
      <c r="M17" s="1"/>
    </row>
    <row r="18" spans="1:13" x14ac:dyDescent="0.2">
      <c r="A18" s="196" t="s">
        <v>270</v>
      </c>
      <c r="B18" s="159">
        <v>48.2977809673</v>
      </c>
      <c r="C18" s="195">
        <v>47.782969401099997</v>
      </c>
      <c r="D18" s="195">
        <v>0.51481156615900003</v>
      </c>
      <c r="E18" s="1"/>
      <c r="G18" s="39"/>
      <c r="M18" s="1"/>
    </row>
    <row r="19" spans="1:13" x14ac:dyDescent="0.2">
      <c r="A19" s="196" t="s">
        <v>319</v>
      </c>
      <c r="B19" s="159">
        <v>28.392865147599998</v>
      </c>
      <c r="C19" s="195">
        <v>28.4563736693</v>
      </c>
      <c r="D19" s="195">
        <v>-6.3508521656400002E-2</v>
      </c>
      <c r="E19" s="1"/>
      <c r="G19" s="39"/>
      <c r="M19" s="1"/>
    </row>
    <row r="20" spans="1:13" x14ac:dyDescent="0.2">
      <c r="A20" s="196" t="s">
        <v>275</v>
      </c>
      <c r="B20" s="159">
        <v>140.575892399</v>
      </c>
      <c r="C20" s="195">
        <v>140.988528428</v>
      </c>
      <c r="D20" s="195">
        <v>-0.412636028569</v>
      </c>
      <c r="E20" s="1"/>
      <c r="G20" s="39"/>
      <c r="M20" s="1"/>
    </row>
    <row r="21" spans="1:13" x14ac:dyDescent="0.2">
      <c r="A21" s="196" t="s">
        <v>274</v>
      </c>
      <c r="B21" s="159">
        <v>13.597349704000001</v>
      </c>
      <c r="C21" s="195">
        <v>14.1852662307</v>
      </c>
      <c r="D21" s="195">
        <v>-0.58791652665000005</v>
      </c>
      <c r="E21" s="1"/>
      <c r="G21" s="39"/>
      <c r="M21" s="1"/>
    </row>
    <row r="22" spans="1:13" x14ac:dyDescent="0.2">
      <c r="A22" s="196" t="s">
        <v>287</v>
      </c>
      <c r="B22" s="159">
        <v>21.596164209600001</v>
      </c>
      <c r="C22" s="195">
        <v>22.444093556399999</v>
      </c>
      <c r="D22" s="195">
        <v>-0.84792934680099996</v>
      </c>
      <c r="E22" s="1"/>
      <c r="M22" s="1"/>
    </row>
    <row r="23" spans="1:13" x14ac:dyDescent="0.2">
      <c r="A23" s="196" t="s">
        <v>272</v>
      </c>
      <c r="B23" s="159">
        <v>21.257563794500001</v>
      </c>
      <c r="C23" s="195">
        <v>22.680543449000002</v>
      </c>
      <c r="D23" s="195">
        <v>-1.42297965447</v>
      </c>
      <c r="E23" s="1"/>
      <c r="M23" s="1"/>
    </row>
    <row r="24" spans="1:13" x14ac:dyDescent="0.2">
      <c r="A24" s="196" t="s">
        <v>279</v>
      </c>
      <c r="B24" s="159">
        <v>23.9021119069</v>
      </c>
      <c r="C24" s="195">
        <v>25.9378641544</v>
      </c>
      <c r="D24" s="195">
        <v>-2.0357522474900001</v>
      </c>
      <c r="E24" s="1"/>
      <c r="M24" s="1"/>
    </row>
    <row r="25" spans="1:13" x14ac:dyDescent="0.2">
      <c r="A25" s="196" t="s">
        <v>280</v>
      </c>
      <c r="B25" s="159">
        <v>14.750679874799999</v>
      </c>
      <c r="C25" s="195">
        <v>17.096586564100001</v>
      </c>
      <c r="D25" s="195">
        <v>-2.34590668929</v>
      </c>
      <c r="E25" s="1"/>
      <c r="M25" s="1"/>
    </row>
    <row r="26" spans="1:13" x14ac:dyDescent="0.2">
      <c r="A26" s="196" t="s">
        <v>271</v>
      </c>
      <c r="B26" s="159">
        <v>20.563981487</v>
      </c>
      <c r="C26" s="195">
        <v>23.920017401900001</v>
      </c>
      <c r="D26" s="195">
        <v>-3.3560359148800001</v>
      </c>
      <c r="E26" s="1"/>
      <c r="M26" s="1"/>
    </row>
    <row r="27" spans="1:13" x14ac:dyDescent="0.2">
      <c r="A27" s="196" t="s">
        <v>299</v>
      </c>
      <c r="B27" s="159">
        <v>24.064800382800001</v>
      </c>
      <c r="C27" s="195">
        <v>27.425876287000001</v>
      </c>
      <c r="D27" s="195">
        <v>-3.3610759041799998</v>
      </c>
      <c r="E27" s="1"/>
      <c r="M27" s="1"/>
    </row>
    <row r="28" spans="1:13" x14ac:dyDescent="0.2">
      <c r="A28" s="196" t="s">
        <v>311</v>
      </c>
      <c r="B28" s="159">
        <v>25.208920494400001</v>
      </c>
      <c r="C28" s="195">
        <v>29.1207658802</v>
      </c>
      <c r="D28" s="195">
        <v>-3.9118453858</v>
      </c>
      <c r="E28" s="1"/>
      <c r="M28" s="1"/>
    </row>
    <row r="29" spans="1:13" x14ac:dyDescent="0.2">
      <c r="A29" s="196" t="s">
        <v>292</v>
      </c>
      <c r="B29" s="159">
        <v>52.499422336000002</v>
      </c>
      <c r="C29" s="195">
        <v>56.6989912811</v>
      </c>
      <c r="D29" s="195">
        <v>-4.1995689451400002</v>
      </c>
      <c r="E29" s="1"/>
      <c r="M29" s="1"/>
    </row>
    <row r="30" spans="1:13" x14ac:dyDescent="0.2">
      <c r="A30" s="196" t="s">
        <v>309</v>
      </c>
      <c r="B30" s="159">
        <v>59.503974446000001</v>
      </c>
      <c r="C30" s="195">
        <v>64.549221266700002</v>
      </c>
      <c r="D30" s="195">
        <v>-5.0452468206900001</v>
      </c>
      <c r="E30" s="1"/>
      <c r="M30" s="1"/>
    </row>
    <row r="31" spans="1:13" x14ac:dyDescent="0.2">
      <c r="A31" s="196" t="s">
        <v>297</v>
      </c>
      <c r="B31" s="159">
        <v>10.4966239909</v>
      </c>
      <c r="C31" s="195">
        <v>15.5779498524</v>
      </c>
      <c r="D31" s="195">
        <v>-5.0813258615399999</v>
      </c>
      <c r="E31" s="1"/>
      <c r="M31" s="1"/>
    </row>
    <row r="32" spans="1:13" x14ac:dyDescent="0.2">
      <c r="A32" s="196" t="s">
        <v>294</v>
      </c>
      <c r="B32" s="159">
        <v>16.783952637399999</v>
      </c>
      <c r="C32" s="195">
        <v>22.130485992299999</v>
      </c>
      <c r="D32" s="195">
        <v>-5.34653335492</v>
      </c>
      <c r="E32" s="1"/>
      <c r="M32" s="1"/>
    </row>
    <row r="33" spans="1:13" x14ac:dyDescent="0.2">
      <c r="A33" s="196" t="s">
        <v>304</v>
      </c>
      <c r="B33" s="159">
        <v>10.828214922100001</v>
      </c>
      <c r="C33" s="195">
        <v>16.9509863591</v>
      </c>
      <c r="D33" s="195">
        <v>-6.1227714370399999</v>
      </c>
      <c r="E33" s="1"/>
      <c r="M33" s="1"/>
    </row>
    <row r="34" spans="1:13" x14ac:dyDescent="0.2">
      <c r="A34" s="196" t="s">
        <v>286</v>
      </c>
      <c r="B34" s="159">
        <v>14.8484736452</v>
      </c>
      <c r="C34" s="195">
        <v>21.276616805700002</v>
      </c>
      <c r="D34" s="195">
        <v>-6.4281431605700003</v>
      </c>
      <c r="E34" s="1"/>
      <c r="M34" s="1"/>
    </row>
    <row r="35" spans="1:13" x14ac:dyDescent="0.2">
      <c r="A35" s="196" t="s">
        <v>314</v>
      </c>
      <c r="B35" s="159">
        <v>11.975466192600001</v>
      </c>
      <c r="C35" s="195">
        <v>19.051200040099999</v>
      </c>
      <c r="D35" s="195">
        <v>-7.0757338475199996</v>
      </c>
      <c r="E35" s="1"/>
      <c r="M35" s="1"/>
    </row>
    <row r="36" spans="1:13" x14ac:dyDescent="0.2">
      <c r="A36" s="196" t="s">
        <v>282</v>
      </c>
      <c r="B36" s="159">
        <v>34.641263119999998</v>
      </c>
      <c r="C36" s="195">
        <v>41.784387365999997</v>
      </c>
      <c r="D36" s="195">
        <v>-7.1431242460100002</v>
      </c>
      <c r="E36" s="1"/>
      <c r="M36" s="1"/>
    </row>
    <row r="37" spans="1:13" x14ac:dyDescent="0.2">
      <c r="A37" s="196" t="s">
        <v>277</v>
      </c>
      <c r="B37" s="159">
        <v>12.066414039</v>
      </c>
      <c r="C37" s="195">
        <v>19.922731542000001</v>
      </c>
      <c r="D37" s="195">
        <v>-7.8563175029399996</v>
      </c>
      <c r="E37" s="1"/>
      <c r="M37" s="1"/>
    </row>
    <row r="38" spans="1:13" x14ac:dyDescent="0.2">
      <c r="A38" s="196" t="s">
        <v>323</v>
      </c>
      <c r="B38" s="159">
        <v>15.3328760363</v>
      </c>
      <c r="C38" s="195">
        <v>24.052773124800002</v>
      </c>
      <c r="D38" s="195">
        <v>-8.7198970885100007</v>
      </c>
      <c r="E38" s="1"/>
      <c r="M38" s="1"/>
    </row>
    <row r="39" spans="1:13" x14ac:dyDescent="0.2">
      <c r="A39" s="196" t="s">
        <v>305</v>
      </c>
      <c r="B39" s="159">
        <v>12.6233620653</v>
      </c>
      <c r="C39" s="195">
        <v>22.529934214200001</v>
      </c>
      <c r="D39" s="195">
        <v>-9.9065721488299996</v>
      </c>
      <c r="E39" s="1"/>
      <c r="M39" s="1"/>
    </row>
    <row r="40" spans="1:13" x14ac:dyDescent="0.2">
      <c r="A40" s="196" t="s">
        <v>284</v>
      </c>
      <c r="B40" s="159">
        <v>94.141112783899999</v>
      </c>
      <c r="C40" s="195">
        <v>104.379379715</v>
      </c>
      <c r="D40" s="195">
        <v>-10.2382669314</v>
      </c>
      <c r="E40" s="1"/>
      <c r="M40" s="1"/>
    </row>
    <row r="41" spans="1:13" x14ac:dyDescent="0.2">
      <c r="A41" s="196" t="s">
        <v>296</v>
      </c>
      <c r="B41" s="159">
        <v>13.097091521599999</v>
      </c>
      <c r="C41" s="195">
        <v>24.272435879100001</v>
      </c>
      <c r="D41" s="195">
        <v>-11.1753443574</v>
      </c>
      <c r="E41" s="1"/>
      <c r="M41" s="1"/>
    </row>
    <row r="42" spans="1:13" x14ac:dyDescent="0.2">
      <c r="A42" s="196" t="s">
        <v>324</v>
      </c>
      <c r="B42" s="159">
        <v>16.611478196299998</v>
      </c>
      <c r="C42" s="195">
        <v>28.128641626499999</v>
      </c>
      <c r="D42" s="195">
        <v>-11.5171634302</v>
      </c>
      <c r="E42" s="1"/>
      <c r="M42" s="1"/>
    </row>
    <row r="43" spans="1:13" x14ac:dyDescent="0.2">
      <c r="A43" s="196" t="s">
        <v>328</v>
      </c>
      <c r="B43" s="159">
        <v>101.321690526</v>
      </c>
      <c r="C43" s="195">
        <v>113.0025614</v>
      </c>
      <c r="D43" s="195">
        <v>-11.6808708746</v>
      </c>
      <c r="E43" s="1"/>
      <c r="M43" s="1"/>
    </row>
    <row r="44" spans="1:13" x14ac:dyDescent="0.2">
      <c r="A44" s="196" t="s">
        <v>265</v>
      </c>
      <c r="B44" s="159">
        <v>1773.03296811</v>
      </c>
      <c r="C44" s="195">
        <v>1785.21208121</v>
      </c>
      <c r="D44" s="195">
        <v>-12.179113095</v>
      </c>
      <c r="E44" s="1"/>
      <c r="M44" s="1"/>
    </row>
    <row r="45" spans="1:13" x14ac:dyDescent="0.2">
      <c r="A45" s="196" t="s">
        <v>320</v>
      </c>
      <c r="B45" s="159">
        <v>18.211922962900001</v>
      </c>
      <c r="C45" s="195">
        <v>30.432548362599999</v>
      </c>
      <c r="D45" s="195">
        <v>-12.220625399699999</v>
      </c>
      <c r="E45" s="1"/>
      <c r="M45" s="1"/>
    </row>
    <row r="46" spans="1:13" x14ac:dyDescent="0.2">
      <c r="A46" s="196" t="s">
        <v>278</v>
      </c>
      <c r="B46" s="159">
        <v>26.768045780800001</v>
      </c>
      <c r="C46" s="195">
        <v>40.925968646900003</v>
      </c>
      <c r="D46" s="195">
        <v>-14.1579228661</v>
      </c>
      <c r="E46" s="1"/>
      <c r="M46" s="1"/>
    </row>
    <row r="47" spans="1:13" x14ac:dyDescent="0.2">
      <c r="A47" s="196" t="s">
        <v>317</v>
      </c>
      <c r="B47" s="159">
        <v>15.4934388291</v>
      </c>
      <c r="C47" s="195">
        <v>30.412540698800001</v>
      </c>
      <c r="D47" s="195">
        <v>-14.9191018697</v>
      </c>
      <c r="E47" s="1"/>
      <c r="M47" s="1"/>
    </row>
    <row r="48" spans="1:13" x14ac:dyDescent="0.2">
      <c r="A48" s="196" t="s">
        <v>337</v>
      </c>
      <c r="B48" s="159">
        <v>77.845650402299995</v>
      </c>
      <c r="C48" s="195">
        <v>93.438424532499994</v>
      </c>
      <c r="D48" s="195">
        <v>-15.5927741302</v>
      </c>
      <c r="E48" s="1"/>
      <c r="M48" s="1"/>
    </row>
    <row r="49" spans="1:13" x14ac:dyDescent="0.2">
      <c r="A49" s="196" t="s">
        <v>295</v>
      </c>
      <c r="B49" s="159">
        <v>25.1156045832</v>
      </c>
      <c r="C49" s="195">
        <v>41.056956670600002</v>
      </c>
      <c r="D49" s="195">
        <v>-15.9413520874</v>
      </c>
      <c r="E49" s="1"/>
      <c r="M49" s="1"/>
    </row>
    <row r="50" spans="1:13" x14ac:dyDescent="0.2">
      <c r="A50" s="196" t="s">
        <v>303</v>
      </c>
      <c r="B50" s="159">
        <v>31.717265424299999</v>
      </c>
      <c r="C50" s="195">
        <v>51.9379805449</v>
      </c>
      <c r="D50" s="195">
        <v>-20.220715120600001</v>
      </c>
      <c r="E50" s="1"/>
      <c r="M50" s="1"/>
    </row>
    <row r="51" spans="1:13" x14ac:dyDescent="0.2">
      <c r="A51" s="196" t="s">
        <v>307</v>
      </c>
      <c r="B51" s="159">
        <v>43.046798701699998</v>
      </c>
      <c r="C51" s="195">
        <v>63.346930559299999</v>
      </c>
      <c r="D51" s="195">
        <v>-20.3001318576</v>
      </c>
      <c r="E51" s="1"/>
      <c r="M51" s="1"/>
    </row>
    <row r="52" spans="1:13" x14ac:dyDescent="0.2">
      <c r="A52" s="196" t="s">
        <v>334</v>
      </c>
      <c r="B52" s="159">
        <v>27.684967797199999</v>
      </c>
      <c r="C52" s="195">
        <v>48.958201167299997</v>
      </c>
      <c r="D52" s="195">
        <v>-21.27323337</v>
      </c>
      <c r="E52" s="1"/>
      <c r="M52" s="1"/>
    </row>
    <row r="53" spans="1:13" x14ac:dyDescent="0.2">
      <c r="A53" s="196" t="s">
        <v>327</v>
      </c>
      <c r="B53" s="159">
        <v>45.039847682500003</v>
      </c>
      <c r="C53" s="195">
        <v>69.803757338899999</v>
      </c>
      <c r="D53" s="195">
        <v>-24.763909656500001</v>
      </c>
      <c r="E53" s="1"/>
      <c r="M53" s="1"/>
    </row>
    <row r="54" spans="1:13" x14ac:dyDescent="0.2">
      <c r="A54" s="196" t="s">
        <v>342</v>
      </c>
      <c r="B54" s="159">
        <v>360.81841933099997</v>
      </c>
      <c r="C54" s="195">
        <v>385.75349939500001</v>
      </c>
      <c r="D54" s="195">
        <v>-24.935080063400001</v>
      </c>
      <c r="E54" s="1"/>
      <c r="M54" s="1"/>
    </row>
    <row r="55" spans="1:13" x14ac:dyDescent="0.2">
      <c r="A55" s="196" t="s">
        <v>329</v>
      </c>
      <c r="B55" s="159">
        <v>63.216362120699998</v>
      </c>
      <c r="C55" s="195">
        <v>91.166440187199996</v>
      </c>
      <c r="D55" s="195">
        <v>-27.950078066500001</v>
      </c>
      <c r="E55" s="161"/>
      <c r="M55" s="1"/>
    </row>
    <row r="56" spans="1:13" x14ac:dyDescent="0.2">
      <c r="A56" s="196" t="s">
        <v>336</v>
      </c>
      <c r="B56" s="159">
        <v>132.316698567</v>
      </c>
      <c r="C56" s="195">
        <v>160.55781893299999</v>
      </c>
      <c r="D56" s="195">
        <v>-28.241120365899999</v>
      </c>
      <c r="E56" s="1"/>
      <c r="M56" s="1"/>
    </row>
    <row r="57" spans="1:13" x14ac:dyDescent="0.2">
      <c r="A57" s="196" t="s">
        <v>321</v>
      </c>
      <c r="B57" s="159">
        <v>38.9405217873</v>
      </c>
      <c r="C57" s="195">
        <v>68.156362171500007</v>
      </c>
      <c r="D57" s="195">
        <v>-29.2158403842</v>
      </c>
      <c r="E57" s="1"/>
      <c r="M57" s="1"/>
    </row>
    <row r="58" spans="1:13" x14ac:dyDescent="0.2">
      <c r="A58" s="196" t="s">
        <v>326</v>
      </c>
      <c r="B58" s="159">
        <v>74.951854905299996</v>
      </c>
      <c r="C58" s="195">
        <v>104.193613208</v>
      </c>
      <c r="D58" s="195">
        <v>-29.241758302200001</v>
      </c>
      <c r="E58" s="1"/>
      <c r="M58" s="1"/>
    </row>
    <row r="59" spans="1:13" x14ac:dyDescent="0.2">
      <c r="A59" s="196" t="s">
        <v>338</v>
      </c>
      <c r="B59" s="159">
        <v>94.572413258500006</v>
      </c>
      <c r="C59" s="195">
        <v>124.71016424600001</v>
      </c>
      <c r="D59" s="195">
        <v>-30.1377509874</v>
      </c>
      <c r="E59" s="1"/>
      <c r="M59" s="1"/>
    </row>
    <row r="60" spans="1:13" x14ac:dyDescent="0.2">
      <c r="A60" s="196" t="s">
        <v>325</v>
      </c>
      <c r="B60" s="159">
        <v>15.0241993264</v>
      </c>
      <c r="C60" s="195">
        <v>45.809671934199997</v>
      </c>
      <c r="D60" s="195">
        <v>-30.785472607799999</v>
      </c>
      <c r="E60" s="1"/>
      <c r="M60" s="1"/>
    </row>
    <row r="61" spans="1:13" x14ac:dyDescent="0.2">
      <c r="A61" s="196" t="s">
        <v>298</v>
      </c>
      <c r="B61" s="159">
        <v>29.758513645800001</v>
      </c>
      <c r="C61" s="195">
        <v>61.534747780799997</v>
      </c>
      <c r="D61" s="195">
        <v>-31.776234134999999</v>
      </c>
      <c r="E61" s="1"/>
      <c r="M61" s="1"/>
    </row>
    <row r="62" spans="1:13" x14ac:dyDescent="0.2">
      <c r="A62" s="196" t="s">
        <v>335</v>
      </c>
      <c r="B62" s="159">
        <v>99.644334518400001</v>
      </c>
      <c r="C62" s="195">
        <v>134.197411093</v>
      </c>
      <c r="D62" s="195">
        <v>-34.553076574499997</v>
      </c>
      <c r="E62" s="1"/>
      <c r="M62" s="1"/>
    </row>
    <row r="63" spans="1:13" x14ac:dyDescent="0.2">
      <c r="A63" s="196" t="s">
        <v>331</v>
      </c>
      <c r="B63" s="159">
        <v>33.152188628499999</v>
      </c>
      <c r="C63" s="195">
        <v>67.937570277500001</v>
      </c>
      <c r="D63" s="195">
        <v>-34.785381649000001</v>
      </c>
      <c r="E63" s="1"/>
      <c r="M63" s="1"/>
    </row>
    <row r="64" spans="1:13" x14ac:dyDescent="0.2">
      <c r="A64" s="196" t="s">
        <v>333</v>
      </c>
      <c r="B64" s="159">
        <v>141.24903505399999</v>
      </c>
      <c r="C64" s="195">
        <v>190.02259149899999</v>
      </c>
      <c r="D64" s="195">
        <v>-48.773556445200001</v>
      </c>
      <c r="E64" s="1"/>
      <c r="M64" s="1"/>
    </row>
    <row r="65" spans="1:13" x14ac:dyDescent="0.2">
      <c r="A65" s="164" t="s">
        <v>316</v>
      </c>
      <c r="B65" s="159">
        <v>81.347731305300002</v>
      </c>
      <c r="C65" s="159">
        <v>135.57754961500001</v>
      </c>
      <c r="D65" s="159">
        <v>-54.229818309300001</v>
      </c>
      <c r="M65" s="1"/>
    </row>
    <row r="66" spans="1:13" x14ac:dyDescent="0.2">
      <c r="A66" s="164" t="s">
        <v>339</v>
      </c>
      <c r="B66" s="159">
        <v>112.014105003</v>
      </c>
      <c r="C66" s="159">
        <v>170.375418083</v>
      </c>
      <c r="D66" s="159">
        <v>-58.361313079399999</v>
      </c>
      <c r="M66" s="1"/>
    </row>
    <row r="67" spans="1:13" x14ac:dyDescent="0.2">
      <c r="A67" s="164" t="s">
        <v>332</v>
      </c>
      <c r="B67" s="159">
        <v>100.416720419</v>
      </c>
      <c r="C67" s="159">
        <v>164.53922147</v>
      </c>
      <c r="D67" s="159">
        <v>-64.122501051300006</v>
      </c>
      <c r="M67" s="1"/>
    </row>
    <row r="68" spans="1:13" x14ac:dyDescent="0.2">
      <c r="A68" s="164" t="s">
        <v>340</v>
      </c>
      <c r="B68" s="159">
        <v>331.802670664</v>
      </c>
      <c r="C68" s="159">
        <v>415.72039793499999</v>
      </c>
      <c r="D68" s="159">
        <v>-83.917727271399997</v>
      </c>
      <c r="M68" s="1"/>
    </row>
    <row r="69" spans="1:13" x14ac:dyDescent="0.2">
      <c r="A69" s="164" t="s">
        <v>341</v>
      </c>
      <c r="B69" s="159">
        <v>95.237222402699999</v>
      </c>
      <c r="C69" s="159">
        <v>182.75983409299999</v>
      </c>
      <c r="D69" s="159">
        <v>-87.522611690600002</v>
      </c>
      <c r="M69" s="1"/>
    </row>
    <row r="70" spans="1:13" x14ac:dyDescent="0.2">
      <c r="A70" s="164" t="s">
        <v>343</v>
      </c>
      <c r="B70" s="159">
        <v>640.55997646499998</v>
      </c>
      <c r="C70" s="159">
        <v>892.54484172599996</v>
      </c>
      <c r="D70" s="159">
        <v>-251.984865262</v>
      </c>
      <c r="M70" s="1"/>
    </row>
    <row r="71" spans="1:13" x14ac:dyDescent="0.2">
      <c r="M71" s="1"/>
    </row>
    <row r="72" spans="1:13" x14ac:dyDescent="0.2">
      <c r="M72" s="1"/>
    </row>
    <row r="73" spans="1:13" x14ac:dyDescent="0.2">
      <c r="M73" s="1"/>
    </row>
    <row r="74" spans="1:13" x14ac:dyDescent="0.2">
      <c r="M74" s="1"/>
    </row>
    <row r="75" spans="1:13" x14ac:dyDescent="0.2">
      <c r="M75" s="1"/>
    </row>
    <row r="76" spans="1:13" x14ac:dyDescent="0.2">
      <c r="M76" s="1"/>
    </row>
    <row r="77" spans="1:13" x14ac:dyDescent="0.2">
      <c r="M77" s="1"/>
    </row>
    <row r="78" spans="1:13" x14ac:dyDescent="0.2">
      <c r="M78" s="1"/>
    </row>
  </sheetData>
  <mergeCells count="2">
    <mergeCell ref="A1:Y1"/>
    <mergeCell ref="A3:D3"/>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3226-95F3-4ABE-A449-AC28194E0B6D}">
  <sheetPr>
    <tabColor rgb="FF5E82A3"/>
  </sheetPr>
  <dimension ref="A1:AA50"/>
  <sheetViews>
    <sheetView zoomScaleNormal="100" workbookViewId="0">
      <selection activeCell="C8" sqref="C8"/>
    </sheetView>
  </sheetViews>
  <sheetFormatPr defaultColWidth="9.140625" defaultRowHeight="14.25" x14ac:dyDescent="0.2"/>
  <cols>
    <col min="1" max="1" width="32" style="1" customWidth="1"/>
    <col min="2" max="2" width="8.140625" style="1" customWidth="1"/>
    <col min="3" max="3" width="9.85546875" style="1" customWidth="1"/>
    <col min="4" max="4" width="7.28515625" style="39" bestFit="1" customWidth="1"/>
    <col min="5" max="5" width="11" style="1" customWidth="1"/>
    <col min="6" max="8" width="8.42578125" style="1" bestFit="1" customWidth="1"/>
    <col min="9" max="9" width="9.5703125" style="1" bestFit="1" customWidth="1"/>
    <col min="10" max="10" width="13.140625" style="1" customWidth="1"/>
    <col min="11" max="11" width="9.28515625" style="1" customWidth="1"/>
    <col min="12" max="12" width="13.28515625" style="1" customWidth="1"/>
    <col min="13" max="13" width="9.42578125" style="1" bestFit="1" customWidth="1"/>
    <col min="14" max="14" width="9.5703125" style="1" customWidth="1"/>
    <col min="15" max="15" width="8.5703125" style="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387</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29</v>
      </c>
      <c r="B3" s="330" t="s">
        <v>30</v>
      </c>
      <c r="C3" s="261"/>
      <c r="D3" s="297" t="s">
        <v>31</v>
      </c>
      <c r="E3" s="298"/>
      <c r="F3" s="216" t="s">
        <v>33</v>
      </c>
      <c r="G3" s="215" t="s">
        <v>33</v>
      </c>
      <c r="H3" s="215" t="s">
        <v>33</v>
      </c>
      <c r="I3" s="303" t="s">
        <v>33</v>
      </c>
      <c r="J3" s="303"/>
      <c r="K3" s="303" t="s">
        <v>34</v>
      </c>
      <c r="L3" s="303"/>
      <c r="M3" s="215" t="s">
        <v>35</v>
      </c>
      <c r="N3" s="215" t="s">
        <v>35</v>
      </c>
      <c r="O3" s="217" t="s">
        <v>35</v>
      </c>
      <c r="P3" s="1"/>
      <c r="Q3" s="40"/>
      <c r="V3" s="273" t="s">
        <v>388</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40"/>
      <c r="U4" s="1" t="s">
        <v>130</v>
      </c>
      <c r="V4" s="44" t="s">
        <v>131</v>
      </c>
      <c r="W4" s="44" t="s">
        <v>48</v>
      </c>
      <c r="X4" s="44" t="s">
        <v>50</v>
      </c>
      <c r="Y4" s="44" t="s">
        <v>132</v>
      </c>
      <c r="Z4" s="44" t="s">
        <v>133</v>
      </c>
      <c r="AA4" s="44" t="s">
        <v>134</v>
      </c>
    </row>
    <row r="5" spans="1:27" ht="36.75" thickBot="1" x14ac:dyDescent="0.25">
      <c r="A5" s="329"/>
      <c r="B5" s="302"/>
      <c r="C5" s="324"/>
      <c r="D5" s="291"/>
      <c r="E5" s="293"/>
      <c r="F5" s="311"/>
      <c r="G5" s="309"/>
      <c r="H5" s="309"/>
      <c r="I5" s="45" t="s">
        <v>48</v>
      </c>
      <c r="J5" s="45" t="s">
        <v>49</v>
      </c>
      <c r="K5" s="45" t="s">
        <v>50</v>
      </c>
      <c r="L5" s="45" t="s">
        <v>51</v>
      </c>
      <c r="M5" s="313"/>
      <c r="N5" s="313"/>
      <c r="O5" s="326"/>
      <c r="P5" s="1"/>
      <c r="Q5" s="40"/>
      <c r="U5" s="1">
        <v>0</v>
      </c>
      <c r="V5" s="46">
        <f>H6</f>
        <v>16.326229311194201</v>
      </c>
      <c r="W5" s="46">
        <f>I6</f>
        <v>17.958850446428574</v>
      </c>
      <c r="X5" s="46">
        <f>K6</f>
        <v>19.754735491071433</v>
      </c>
      <c r="Y5" s="46">
        <f>M6</f>
        <v>21.730209040178579</v>
      </c>
      <c r="Z5" s="46">
        <f>N6</f>
        <v>23.90322994419644</v>
      </c>
      <c r="AA5" s="46">
        <f>O6</f>
        <v>26.293552938616084</v>
      </c>
    </row>
    <row r="6" spans="1:27" x14ac:dyDescent="0.2">
      <c r="A6" s="111" t="s">
        <v>56</v>
      </c>
      <c r="B6" s="112">
        <v>12.45</v>
      </c>
      <c r="C6" s="113">
        <f>B6*2080</f>
        <v>25896</v>
      </c>
      <c r="D6" s="59">
        <v>17.958850446428574</v>
      </c>
      <c r="E6" s="114">
        <v>37354.408928571429</v>
      </c>
      <c r="F6" s="59">
        <v>16.326229311194201</v>
      </c>
      <c r="G6" s="59">
        <v>16.326229311194201</v>
      </c>
      <c r="H6" s="59">
        <v>16.326229311194201</v>
      </c>
      <c r="I6" s="60">
        <v>17.958850446428574</v>
      </c>
      <c r="J6" s="116">
        <v>18.856792968750003</v>
      </c>
      <c r="K6" s="60">
        <v>19.754735491071433</v>
      </c>
      <c r="L6" s="60">
        <f>K6*1.05</f>
        <v>20.742472265625004</v>
      </c>
      <c r="M6" s="60">
        <v>21.730209040178579</v>
      </c>
      <c r="N6" s="60">
        <v>23.90322994419644</v>
      </c>
      <c r="O6" s="162">
        <v>26.293552938616084</v>
      </c>
      <c r="P6" s="1"/>
      <c r="U6" s="1">
        <v>1</v>
      </c>
      <c r="V6" s="46">
        <f t="shared" ref="V6:V25" si="0">V5*1.025</f>
        <v>16.734385043974054</v>
      </c>
      <c r="W6" s="46">
        <f t="shared" ref="W6:W25" si="1">W5*1.025</f>
        <v>18.407821707589285</v>
      </c>
      <c r="X6" s="46">
        <f t="shared" ref="X6:X25" si="2">X5*1.025</f>
        <v>20.248603878348217</v>
      </c>
      <c r="Y6" s="46">
        <f t="shared" ref="Y6:Y25" si="3">Y5*1.025</f>
        <v>22.273464266183041</v>
      </c>
      <c r="Z6" s="46">
        <f t="shared" ref="Z6:Z25" si="4">Z5*1.025</f>
        <v>24.500810692801348</v>
      </c>
      <c r="AA6" s="46">
        <f t="shared" ref="AA6:AA25" si="5">AA5*1.025</f>
        <v>26.950891762081483</v>
      </c>
    </row>
    <row r="7" spans="1:27" x14ac:dyDescent="0.2">
      <c r="A7" s="286" t="s">
        <v>135</v>
      </c>
      <c r="B7" s="287"/>
      <c r="C7" s="287"/>
      <c r="D7" s="287"/>
      <c r="E7" s="287"/>
      <c r="F7" s="287"/>
      <c r="G7" s="287"/>
      <c r="H7" s="288"/>
      <c r="I7" s="55">
        <f>I6-H6</f>
        <v>1.6326211352343734</v>
      </c>
      <c r="J7" s="55">
        <f t="shared" ref="J7:O7" si="6">J6-I6</f>
        <v>0.89794252232142924</v>
      </c>
      <c r="K7" s="55">
        <f t="shared" si="6"/>
        <v>0.89794252232142924</v>
      </c>
      <c r="L7" s="55">
        <f>L6-K6</f>
        <v>0.98773677455357145</v>
      </c>
      <c r="M7" s="55">
        <f t="shared" si="6"/>
        <v>0.987736774553575</v>
      </c>
      <c r="N7" s="55">
        <f t="shared" si="6"/>
        <v>2.1730209040178607</v>
      </c>
      <c r="O7" s="55">
        <f t="shared" si="6"/>
        <v>2.3903229944196447</v>
      </c>
      <c r="P7" s="1"/>
      <c r="U7" s="1">
        <v>2</v>
      </c>
      <c r="V7" s="46">
        <f t="shared" si="0"/>
        <v>17.152744670073403</v>
      </c>
      <c r="W7" s="46">
        <f t="shared" si="1"/>
        <v>18.868017250279017</v>
      </c>
      <c r="X7" s="46">
        <f t="shared" si="2"/>
        <v>20.754818975306922</v>
      </c>
      <c r="Y7" s="46">
        <f t="shared" si="3"/>
        <v>22.830300872837615</v>
      </c>
      <c r="Z7" s="46">
        <f t="shared" si="4"/>
        <v>25.113330960121381</v>
      </c>
      <c r="AA7" s="46">
        <f t="shared" si="5"/>
        <v>27.624664056133518</v>
      </c>
    </row>
    <row r="8" spans="1:27" x14ac:dyDescent="0.2">
      <c r="A8" s="56" t="s">
        <v>65</v>
      </c>
      <c r="B8" s="59">
        <v>12.45</v>
      </c>
      <c r="C8" s="114">
        <f>B8*2080</f>
        <v>25896</v>
      </c>
      <c r="D8" s="59">
        <v>16.326227678571431</v>
      </c>
      <c r="E8" s="114">
        <v>33958.553571428572</v>
      </c>
      <c r="F8" s="59">
        <v>14.84202664654018</v>
      </c>
      <c r="G8" s="60">
        <v>14.84202664654018</v>
      </c>
      <c r="H8" s="60">
        <v>14.84202664654018</v>
      </c>
      <c r="I8" s="61">
        <v>16.326227678571431</v>
      </c>
      <c r="J8" s="61">
        <v>17.142539062500003</v>
      </c>
      <c r="K8" s="61">
        <v>17.958850446428578</v>
      </c>
      <c r="L8" s="61">
        <f>K8*1.05</f>
        <v>18.856792968750007</v>
      </c>
      <c r="M8" s="61">
        <v>19.754735491071401</v>
      </c>
      <c r="N8" s="61">
        <v>21.730209040178583</v>
      </c>
      <c r="O8" s="62">
        <v>23.903229944196443</v>
      </c>
      <c r="P8" s="1"/>
      <c r="U8" s="1">
        <v>3</v>
      </c>
      <c r="V8" s="46">
        <f t="shared" si="0"/>
        <v>17.581563286825237</v>
      </c>
      <c r="W8" s="46">
        <f t="shared" si="1"/>
        <v>19.339717681535991</v>
      </c>
      <c r="X8" s="46">
        <f t="shared" si="2"/>
        <v>21.273689449689591</v>
      </c>
      <c r="Y8" s="46">
        <f t="shared" si="3"/>
        <v>23.401058394658552</v>
      </c>
      <c r="Z8" s="46">
        <f t="shared" si="4"/>
        <v>25.741164234124412</v>
      </c>
      <c r="AA8" s="46">
        <f t="shared" si="5"/>
        <v>28.315280657536853</v>
      </c>
    </row>
    <row r="9" spans="1:27" x14ac:dyDescent="0.2">
      <c r="A9" s="286" t="s">
        <v>135</v>
      </c>
      <c r="B9" s="287"/>
      <c r="C9" s="287"/>
      <c r="D9" s="287"/>
      <c r="E9" s="287"/>
      <c r="F9" s="287"/>
      <c r="G9" s="287"/>
      <c r="H9" s="288"/>
      <c r="I9" s="55">
        <f>I8-H8</f>
        <v>1.4842010320312511</v>
      </c>
      <c r="J9" s="55">
        <f t="shared" ref="J9:O9" si="7">J8-I8</f>
        <v>0.81631138392857139</v>
      </c>
      <c r="K9" s="55">
        <f t="shared" si="7"/>
        <v>0.81631138392857494</v>
      </c>
      <c r="L9" s="55">
        <f t="shared" si="7"/>
        <v>0.89794252232142924</v>
      </c>
      <c r="M9" s="55">
        <f t="shared" si="7"/>
        <v>0.89794252232139371</v>
      </c>
      <c r="N9" s="55">
        <f t="shared" si="7"/>
        <v>1.975473549107182</v>
      </c>
      <c r="O9" s="55">
        <f t="shared" si="7"/>
        <v>2.1730209040178607</v>
      </c>
      <c r="P9" s="1"/>
      <c r="U9" s="1">
        <v>4</v>
      </c>
      <c r="V9" s="46">
        <f t="shared" si="0"/>
        <v>18.021102368995866</v>
      </c>
      <c r="W9" s="46">
        <f t="shared" si="1"/>
        <v>19.82321062357439</v>
      </c>
      <c r="X9" s="46">
        <f t="shared" si="2"/>
        <v>21.805531685931829</v>
      </c>
      <c r="Y9" s="46">
        <f t="shared" si="3"/>
        <v>23.986084854525014</v>
      </c>
      <c r="Z9" s="46">
        <f t="shared" si="4"/>
        <v>26.38469333997752</v>
      </c>
      <c r="AA9" s="46">
        <f t="shared" si="5"/>
        <v>29.023162673975271</v>
      </c>
    </row>
    <row r="10" spans="1:27" x14ac:dyDescent="0.2">
      <c r="P10" s="1"/>
      <c r="Q10" s="40"/>
      <c r="U10" s="1">
        <v>5</v>
      </c>
      <c r="V10" s="46">
        <f t="shared" si="0"/>
        <v>18.471629928220761</v>
      </c>
      <c r="W10" s="46">
        <f t="shared" si="1"/>
        <v>20.318790889163747</v>
      </c>
      <c r="X10" s="46">
        <f t="shared" si="2"/>
        <v>22.350669978080123</v>
      </c>
      <c r="Y10" s="46">
        <f t="shared" si="3"/>
        <v>24.585736975888139</v>
      </c>
      <c r="Z10" s="46">
        <f t="shared" si="4"/>
        <v>27.044310673476957</v>
      </c>
      <c r="AA10" s="46">
        <f t="shared" si="5"/>
        <v>29.748741740824652</v>
      </c>
    </row>
    <row r="11" spans="1:27" x14ac:dyDescent="0.2">
      <c r="U11" s="1">
        <v>6</v>
      </c>
      <c r="V11" s="46">
        <f t="shared" si="0"/>
        <v>18.933420676426277</v>
      </c>
      <c r="W11" s="46">
        <f t="shared" si="1"/>
        <v>20.826760661392839</v>
      </c>
      <c r="X11" s="46">
        <f t="shared" si="2"/>
        <v>22.909436727532125</v>
      </c>
      <c r="Y11" s="46">
        <f t="shared" si="3"/>
        <v>25.20038040028534</v>
      </c>
      <c r="Z11" s="46">
        <f t="shared" si="4"/>
        <v>27.720418440313878</v>
      </c>
      <c r="AA11" s="46">
        <f t="shared" si="5"/>
        <v>30.492460284345267</v>
      </c>
    </row>
    <row r="12" spans="1:27" x14ac:dyDescent="0.2">
      <c r="U12" s="1">
        <v>7</v>
      </c>
      <c r="V12" s="46">
        <f t="shared" si="0"/>
        <v>19.406756193336932</v>
      </c>
      <c r="W12" s="46">
        <f t="shared" si="1"/>
        <v>21.347429677927657</v>
      </c>
      <c r="X12" s="46">
        <f t="shared" si="2"/>
        <v>23.482172645720425</v>
      </c>
      <c r="Y12" s="46">
        <f t="shared" si="3"/>
        <v>25.830389910292471</v>
      </c>
      <c r="Z12" s="46">
        <f t="shared" si="4"/>
        <v>28.413428901321723</v>
      </c>
      <c r="AA12" s="46">
        <f t="shared" si="5"/>
        <v>31.254771791453894</v>
      </c>
    </row>
    <row r="13" spans="1:27" x14ac:dyDescent="0.2">
      <c r="U13" s="1">
        <v>8</v>
      </c>
      <c r="V13" s="46">
        <f t="shared" si="0"/>
        <v>19.891925098170354</v>
      </c>
      <c r="W13" s="46">
        <f t="shared" si="1"/>
        <v>21.881115419875847</v>
      </c>
      <c r="X13" s="46">
        <f t="shared" si="2"/>
        <v>24.069226961863432</v>
      </c>
      <c r="Y13" s="46">
        <f t="shared" si="3"/>
        <v>26.476149658049781</v>
      </c>
      <c r="Z13" s="46">
        <f t="shared" si="4"/>
        <v>29.123764623854765</v>
      </c>
      <c r="AA13" s="46">
        <f t="shared" si="5"/>
        <v>32.036141086240242</v>
      </c>
    </row>
    <row r="14" spans="1:27" ht="16.5" thickBot="1" x14ac:dyDescent="0.3">
      <c r="A14" s="28" t="s">
        <v>389</v>
      </c>
      <c r="B14" s="28"/>
      <c r="C14" s="28"/>
      <c r="D14" s="28"/>
      <c r="E14" s="28"/>
      <c r="F14" s="28"/>
      <c r="G14" s="28"/>
      <c r="H14" s="28"/>
      <c r="I14" s="28"/>
      <c r="J14" s="28"/>
      <c r="K14" s="28"/>
      <c r="L14" s="28"/>
      <c r="M14" s="28"/>
      <c r="N14" s="28"/>
      <c r="O14" s="28"/>
      <c r="P14" s="28"/>
      <c r="Q14" s="28"/>
      <c r="R14" s="28"/>
      <c r="S14" s="28"/>
      <c r="T14" s="28"/>
      <c r="U14" s="1">
        <v>9</v>
      </c>
      <c r="V14" s="46">
        <f t="shared" si="0"/>
        <v>20.389223225624612</v>
      </c>
      <c r="W14" s="46">
        <f t="shared" si="1"/>
        <v>22.428143305372743</v>
      </c>
      <c r="X14" s="46">
        <f t="shared" si="2"/>
        <v>24.670957635910014</v>
      </c>
      <c r="Y14" s="46">
        <f t="shared" si="3"/>
        <v>27.138053399501022</v>
      </c>
      <c r="Z14" s="46">
        <f t="shared" si="4"/>
        <v>29.851858739451131</v>
      </c>
      <c r="AA14" s="46">
        <f t="shared" si="5"/>
        <v>32.837044613396245</v>
      </c>
    </row>
    <row r="15" spans="1:27"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3"/>
      <c r="U15" s="1">
        <v>10</v>
      </c>
      <c r="V15" s="46">
        <f t="shared" si="0"/>
        <v>20.898953806265226</v>
      </c>
      <c r="W15" s="46">
        <f t="shared" si="1"/>
        <v>22.98884688800706</v>
      </c>
      <c r="X15" s="46">
        <f t="shared" si="2"/>
        <v>25.287731576807762</v>
      </c>
      <c r="Y15" s="46">
        <f t="shared" si="3"/>
        <v>27.816504734488547</v>
      </c>
      <c r="Z15" s="46">
        <f t="shared" si="4"/>
        <v>30.598155207937406</v>
      </c>
      <c r="AA15" s="46">
        <f t="shared" si="5"/>
        <v>33.657970728731151</v>
      </c>
    </row>
    <row r="16" spans="1:27"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4"/>
      <c r="U16" s="1">
        <v>11</v>
      </c>
      <c r="V16" s="46">
        <f t="shared" si="0"/>
        <v>21.421427651421855</v>
      </c>
      <c r="W16" s="46">
        <f t="shared" si="1"/>
        <v>23.563568060207235</v>
      </c>
      <c r="X16" s="46">
        <f t="shared" si="2"/>
        <v>25.919924866227952</v>
      </c>
      <c r="Y16" s="46">
        <f t="shared" si="3"/>
        <v>28.511917352850759</v>
      </c>
      <c r="Z16" s="46">
        <f t="shared" si="4"/>
        <v>31.36310908813584</v>
      </c>
      <c r="AA16" s="46">
        <f t="shared" si="5"/>
        <v>34.499419996949428</v>
      </c>
    </row>
    <row r="17" spans="1:27" ht="15" thickBot="1" x14ac:dyDescent="0.25">
      <c r="A17" s="276"/>
      <c r="B17" s="65" t="s">
        <v>141</v>
      </c>
      <c r="C17" s="66" t="s">
        <v>142</v>
      </c>
      <c r="D17" s="66" t="s">
        <v>143</v>
      </c>
      <c r="E17" s="67" t="s">
        <v>141</v>
      </c>
      <c r="F17" s="68" t="s">
        <v>142</v>
      </c>
      <c r="G17" s="69" t="s">
        <v>143</v>
      </c>
      <c r="H17" s="66" t="s">
        <v>141</v>
      </c>
      <c r="I17" s="66" t="s">
        <v>142</v>
      </c>
      <c r="J17" s="70" t="s">
        <v>143</v>
      </c>
      <c r="K17" s="65" t="s">
        <v>141</v>
      </c>
      <c r="L17" s="66" t="s">
        <v>142</v>
      </c>
      <c r="M17" s="70" t="s">
        <v>143</v>
      </c>
      <c r="N17" s="65" t="s">
        <v>141</v>
      </c>
      <c r="O17" s="66" t="s">
        <v>142</v>
      </c>
      <c r="P17" s="70" t="s">
        <v>143</v>
      </c>
      <c r="Q17" s="65" t="s">
        <v>141</v>
      </c>
      <c r="R17" s="66" t="s">
        <v>142</v>
      </c>
      <c r="S17" s="70" t="s">
        <v>143</v>
      </c>
      <c r="T17" s="71"/>
      <c r="U17" s="1">
        <v>12</v>
      </c>
      <c r="V17" s="46">
        <f t="shared" si="0"/>
        <v>21.9569633427074</v>
      </c>
      <c r="W17" s="46">
        <f t="shared" si="1"/>
        <v>24.152657261712413</v>
      </c>
      <c r="X17" s="46">
        <f t="shared" si="2"/>
        <v>26.567922987883648</v>
      </c>
      <c r="Y17" s="46">
        <f t="shared" si="3"/>
        <v>29.224715286672026</v>
      </c>
      <c r="Z17" s="46">
        <f t="shared" si="4"/>
        <v>32.147186815339232</v>
      </c>
      <c r="AA17" s="46">
        <f t="shared" si="5"/>
        <v>35.361905496873163</v>
      </c>
    </row>
    <row r="18" spans="1:27" x14ac:dyDescent="0.2">
      <c r="A18" s="72" t="s">
        <v>144</v>
      </c>
      <c r="B18" s="73">
        <f>H6</f>
        <v>16.326229311194201</v>
      </c>
      <c r="C18" s="73">
        <f>MEDIAN(B18,D18)</f>
        <v>16.95389629900972</v>
      </c>
      <c r="D18" s="73">
        <f>B18*((1.025)^3)</f>
        <v>17.58156328682524</v>
      </c>
      <c r="E18" s="74">
        <f>I6</f>
        <v>17.958850446428574</v>
      </c>
      <c r="F18" s="73">
        <f>MEDIAN(E18,G18)</f>
        <v>18.649284063982286</v>
      </c>
      <c r="G18" s="75">
        <f>E18*((1.025)^3)</f>
        <v>19.339717681535994</v>
      </c>
      <c r="H18" s="73">
        <f>K6</f>
        <v>19.754735491071433</v>
      </c>
      <c r="I18" s="73">
        <f>MEDIAN(H18,J18)</f>
        <v>20.514212470380514</v>
      </c>
      <c r="J18" s="75">
        <f>H18*((1.025)^3)</f>
        <v>21.273689449689595</v>
      </c>
      <c r="K18" s="74">
        <f>M6</f>
        <v>21.730209040178579</v>
      </c>
      <c r="L18" s="73">
        <f>MEDIAN(K18,M18)</f>
        <v>22.565633717418571</v>
      </c>
      <c r="M18" s="75">
        <f>K18*((1.025)^3)</f>
        <v>23.401058394658559</v>
      </c>
      <c r="N18" s="74">
        <f>N6</f>
        <v>23.90322994419644</v>
      </c>
      <c r="O18" s="73">
        <f>MEDIAN(N18,P18)</f>
        <v>24.822197089160426</v>
      </c>
      <c r="P18" s="75">
        <f>N18*((1.025)^3)</f>
        <v>25.741164234124415</v>
      </c>
      <c r="Q18" s="74">
        <f>O6</f>
        <v>26.293552938616084</v>
      </c>
      <c r="R18" s="73">
        <f>MEDIAN(Q18,S18)</f>
        <v>27.304416798076474</v>
      </c>
      <c r="S18" s="75">
        <f>Q18*((1.025)^3)</f>
        <v>28.31528065753686</v>
      </c>
      <c r="T18" s="73"/>
      <c r="U18" s="1">
        <v>13</v>
      </c>
      <c r="V18" s="46">
        <f t="shared" si="0"/>
        <v>22.505887426275084</v>
      </c>
      <c r="W18" s="46">
        <f t="shared" si="1"/>
        <v>24.75647369325522</v>
      </c>
      <c r="X18" s="46">
        <f t="shared" si="2"/>
        <v>27.232121062580738</v>
      </c>
      <c r="Y18" s="46">
        <f t="shared" si="3"/>
        <v>29.955333168838823</v>
      </c>
      <c r="Z18" s="46">
        <f t="shared" si="4"/>
        <v>32.950866485722713</v>
      </c>
      <c r="AA18" s="46">
        <f t="shared" si="5"/>
        <v>36.245953134294986</v>
      </c>
    </row>
    <row r="19" spans="1:27" x14ac:dyDescent="0.2">
      <c r="A19" s="76" t="s">
        <v>145</v>
      </c>
      <c r="B19" s="73">
        <f>B18*((1.025)^4)</f>
        <v>18.021102368995869</v>
      </c>
      <c r="C19" s="73">
        <f t="shared" ref="C19:C23" si="8">MEDIAN(B19,D19)</f>
        <v>18.477261522711075</v>
      </c>
      <c r="D19" s="73">
        <f>B18*((1.025)^6)</f>
        <v>18.933420676426284</v>
      </c>
      <c r="E19" s="74">
        <f>E18*((1.025)^4)</f>
        <v>19.823210623574393</v>
      </c>
      <c r="F19" s="73">
        <f t="shared" ref="F19:F23" si="9">MEDIAN(E19,G19)</f>
        <v>20.324985642483618</v>
      </c>
      <c r="G19" s="75">
        <f>E18*((1.025)^6)</f>
        <v>20.826760661392843</v>
      </c>
      <c r="H19" s="73">
        <f>H18*((1.025)^4)</f>
        <v>21.805531685931832</v>
      </c>
      <c r="I19" s="73">
        <f t="shared" ref="I19:I23" si="10">MEDIAN(H19,J19)</f>
        <v>22.357484206731982</v>
      </c>
      <c r="J19" s="75">
        <f>H18*((1.025)^6)</f>
        <v>22.909436727532128</v>
      </c>
      <c r="K19" s="74">
        <f>K18*((1.025)^4)</f>
        <v>23.986084854525018</v>
      </c>
      <c r="L19" s="73">
        <f t="shared" ref="L19:L23" si="11">MEDIAN(K19,M19)</f>
        <v>24.593232627405179</v>
      </c>
      <c r="M19" s="75">
        <f>K18*((1.025)^6)</f>
        <v>25.200380400285344</v>
      </c>
      <c r="N19" s="74">
        <f>N18*((1.025)^4)</f>
        <v>26.384693339977524</v>
      </c>
      <c r="O19" s="73">
        <f t="shared" ref="O19:O23" si="12">MEDIAN(N19,P19)</f>
        <v>27.052555890145705</v>
      </c>
      <c r="P19" s="75">
        <f>N18*((1.025)^6)</f>
        <v>27.720418440313882</v>
      </c>
      <c r="Q19" s="74">
        <f>Q18*((1.025)^4)</f>
        <v>29.023162673975278</v>
      </c>
      <c r="R19" s="73">
        <f t="shared" ref="R19:R23" si="13">MEDIAN(Q19,S19)</f>
        <v>29.757811479160274</v>
      </c>
      <c r="S19" s="75">
        <f>Q18*((1.025)^6)</f>
        <v>30.49246028434527</v>
      </c>
      <c r="T19" s="73"/>
      <c r="U19" s="1">
        <v>14</v>
      </c>
      <c r="V19" s="46">
        <f t="shared" si="0"/>
        <v>23.068534611931959</v>
      </c>
      <c r="W19" s="46">
        <f t="shared" si="1"/>
        <v>25.375385535586599</v>
      </c>
      <c r="X19" s="46">
        <f t="shared" si="2"/>
        <v>27.912924089145253</v>
      </c>
      <c r="Y19" s="46">
        <f t="shared" si="3"/>
        <v>30.70421649805979</v>
      </c>
      <c r="Z19" s="46">
        <f t="shared" si="4"/>
        <v>33.77463814786578</v>
      </c>
      <c r="AA19" s="46">
        <f t="shared" si="5"/>
        <v>37.15210196265236</v>
      </c>
    </row>
    <row r="20" spans="1:27" x14ac:dyDescent="0.2">
      <c r="A20" s="76" t="s">
        <v>146</v>
      </c>
      <c r="B20" s="73">
        <f>B18*((1.025)^7)</f>
        <v>19.406756193336939</v>
      </c>
      <c r="C20" s="73">
        <f t="shared" si="8"/>
        <v>19.897989709480779</v>
      </c>
      <c r="D20" s="73">
        <f>B18*((1.025)^9)</f>
        <v>20.389223225624619</v>
      </c>
      <c r="E20" s="74">
        <f>E18*((1.025)^7)</f>
        <v>21.347429677927664</v>
      </c>
      <c r="F20" s="73">
        <f t="shared" si="9"/>
        <v>21.887786491650203</v>
      </c>
      <c r="G20" s="75">
        <f>E18*((1.025)^9)</f>
        <v>22.428143305372746</v>
      </c>
      <c r="H20" s="73">
        <f>H18*((1.025)^7)</f>
        <v>23.482172645720432</v>
      </c>
      <c r="I20" s="73">
        <f t="shared" si="10"/>
        <v>24.076565140815227</v>
      </c>
      <c r="J20" s="75">
        <f>H18*((1.025)^9)</f>
        <v>24.670957635910021</v>
      </c>
      <c r="K20" s="74">
        <f>K18*((1.025)^7)</f>
        <v>25.830389910292478</v>
      </c>
      <c r="L20" s="73">
        <f t="shared" si="11"/>
        <v>26.484221654896754</v>
      </c>
      <c r="M20" s="75">
        <f>K18*((1.025)^9)</f>
        <v>27.138053399501029</v>
      </c>
      <c r="N20" s="74">
        <f>N18*((1.025)^7)</f>
        <v>28.41342890132173</v>
      </c>
      <c r="O20" s="73">
        <f t="shared" si="12"/>
        <v>29.132643820386434</v>
      </c>
      <c r="P20" s="75">
        <f>N18*((1.025)^9)</f>
        <v>29.851858739451135</v>
      </c>
      <c r="Q20" s="74">
        <f>Q18*((1.025)^7)</f>
        <v>31.254771791453905</v>
      </c>
      <c r="R20" s="73">
        <f t="shared" si="13"/>
        <v>32.045908202425082</v>
      </c>
      <c r="S20" s="75">
        <f>Q18*((1.025)^9)</f>
        <v>32.837044613396252</v>
      </c>
      <c r="T20" s="73"/>
      <c r="U20" s="1">
        <v>15</v>
      </c>
      <c r="V20" s="46">
        <f t="shared" si="0"/>
        <v>23.645247977230255</v>
      </c>
      <c r="W20" s="46">
        <f t="shared" si="1"/>
        <v>26.009770173976261</v>
      </c>
      <c r="X20" s="46">
        <f t="shared" si="2"/>
        <v>28.610747191373882</v>
      </c>
      <c r="Y20" s="46">
        <f t="shared" si="3"/>
        <v>31.471821910511281</v>
      </c>
      <c r="Z20" s="46">
        <f t="shared" si="4"/>
        <v>34.619004101562425</v>
      </c>
      <c r="AA20" s="46">
        <f t="shared" si="5"/>
        <v>38.080904511718664</v>
      </c>
    </row>
    <row r="21" spans="1:27" x14ac:dyDescent="0.2">
      <c r="A21" s="76" t="s">
        <v>147</v>
      </c>
      <c r="B21" s="73">
        <f>B18*((1.025)^10)</f>
        <v>20.898953806265233</v>
      </c>
      <c r="C21" s="73">
        <f t="shared" si="8"/>
        <v>21.427958574486318</v>
      </c>
      <c r="D21" s="73">
        <f>B18*((1.025)^12)</f>
        <v>21.956963342707407</v>
      </c>
      <c r="E21" s="74">
        <f>E18*((1.025)^10)</f>
        <v>22.988846888007064</v>
      </c>
      <c r="F21" s="73">
        <f t="shared" si="9"/>
        <v>23.57075207485974</v>
      </c>
      <c r="G21" s="75">
        <f>E18*((1.025)^12)</f>
        <v>24.15265726171242</v>
      </c>
      <c r="H21" s="73">
        <f>H18*((1.025)^10)</f>
        <v>25.287731576807772</v>
      </c>
      <c r="I21" s="73">
        <f t="shared" si="10"/>
        <v>25.927827282345717</v>
      </c>
      <c r="J21" s="75">
        <f>H18*((1.025)^12)</f>
        <v>26.567922987883662</v>
      </c>
      <c r="K21" s="74">
        <f>K18*((1.025)^10)</f>
        <v>27.816504734488554</v>
      </c>
      <c r="L21" s="73">
        <f t="shared" si="11"/>
        <v>28.520610010580292</v>
      </c>
      <c r="M21" s="75">
        <f>K18*((1.025)^12)</f>
        <v>29.224715286672033</v>
      </c>
      <c r="N21" s="74">
        <f>N18*((1.025)^10)</f>
        <v>30.598155207937413</v>
      </c>
      <c r="O21" s="73">
        <f t="shared" si="12"/>
        <v>31.372671011638325</v>
      </c>
      <c r="P21" s="75">
        <f>N18*((1.025)^12)</f>
        <v>32.147186815339239</v>
      </c>
      <c r="Q21" s="74">
        <f>Q18*((1.025)^10)</f>
        <v>33.657970728731158</v>
      </c>
      <c r="R21" s="73">
        <f t="shared" si="13"/>
        <v>34.509938112802161</v>
      </c>
      <c r="S21" s="75">
        <f>Q18*((1.025)^12)</f>
        <v>35.36190549687317</v>
      </c>
      <c r="T21" s="73"/>
      <c r="U21" s="1">
        <v>16</v>
      </c>
      <c r="V21" s="46">
        <f t="shared" si="0"/>
        <v>24.236379176661011</v>
      </c>
      <c r="W21" s="46">
        <f t="shared" si="1"/>
        <v>26.660014428325663</v>
      </c>
      <c r="X21" s="46">
        <f t="shared" si="2"/>
        <v>29.326015871158226</v>
      </c>
      <c r="Y21" s="46">
        <f t="shared" si="3"/>
        <v>32.25861745827406</v>
      </c>
      <c r="Z21" s="46">
        <f t="shared" si="4"/>
        <v>35.484479204101483</v>
      </c>
      <c r="AA21" s="46">
        <f t="shared" si="5"/>
        <v>39.03292712451163</v>
      </c>
    </row>
    <row r="22" spans="1:27" x14ac:dyDescent="0.2">
      <c r="A22" s="76" t="s">
        <v>148</v>
      </c>
      <c r="B22" s="73">
        <f>B18*((1.025)^13)</f>
        <v>22.505887426275091</v>
      </c>
      <c r="C22" s="73">
        <f t="shared" si="8"/>
        <v>23.075567701752682</v>
      </c>
      <c r="D22" s="73">
        <f>B18*((1.025)^15)</f>
        <v>23.645247977230269</v>
      </c>
      <c r="E22" s="74">
        <f>E18*((1.025)^13)</f>
        <v>24.756473693255231</v>
      </c>
      <c r="F22" s="73">
        <f t="shared" si="9"/>
        <v>25.383121933615755</v>
      </c>
      <c r="G22" s="75">
        <f>E18*((1.025)^15)</f>
        <v>26.009770173976278</v>
      </c>
      <c r="H22" s="73">
        <f>H18*((1.025)^13)</f>
        <v>27.232121062580756</v>
      </c>
      <c r="I22" s="73">
        <f t="shared" si="10"/>
        <v>27.921434126977331</v>
      </c>
      <c r="J22" s="75">
        <f>H18*((1.025)^15)</f>
        <v>28.610747191373907</v>
      </c>
      <c r="K22" s="74">
        <f>K18*((1.025)^13)</f>
        <v>29.955333168838834</v>
      </c>
      <c r="L22" s="73">
        <f t="shared" si="11"/>
        <v>30.713577539675068</v>
      </c>
      <c r="M22" s="75">
        <f>K18*((1.025)^15)</f>
        <v>31.471821910511302</v>
      </c>
      <c r="N22" s="74">
        <f>N18*((1.025)^13)</f>
        <v>32.95086648572272</v>
      </c>
      <c r="O22" s="73">
        <f t="shared" si="12"/>
        <v>33.784935293642576</v>
      </c>
      <c r="P22" s="75">
        <f>N18*((1.025)^15)</f>
        <v>34.619004101562439</v>
      </c>
      <c r="Q22" s="74">
        <f>Q18*((1.025)^13)</f>
        <v>36.245953134294993</v>
      </c>
      <c r="R22" s="73">
        <f t="shared" si="13"/>
        <v>37.163428823006839</v>
      </c>
      <c r="S22" s="75">
        <f>Q18*((1.025)^15)</f>
        <v>38.080904511718678</v>
      </c>
      <c r="T22" s="73"/>
      <c r="U22" s="1">
        <v>17</v>
      </c>
      <c r="V22" s="46">
        <f t="shared" si="0"/>
        <v>24.842288656077535</v>
      </c>
      <c r="W22" s="46">
        <f t="shared" si="1"/>
        <v>27.326514789033801</v>
      </c>
      <c r="X22" s="46">
        <f t="shared" si="2"/>
        <v>30.059166267937179</v>
      </c>
      <c r="Y22" s="46">
        <f t="shared" si="3"/>
        <v>33.065082894730907</v>
      </c>
      <c r="Z22" s="46">
        <f t="shared" si="4"/>
        <v>36.371591184204014</v>
      </c>
      <c r="AA22" s="46">
        <f t="shared" si="5"/>
        <v>40.008750302624421</v>
      </c>
    </row>
    <row r="23" spans="1:27" x14ac:dyDescent="0.2">
      <c r="A23" s="76" t="s">
        <v>149</v>
      </c>
      <c r="B23" s="73">
        <f>B18*((1.025)^16)</f>
        <v>24.236379176661025</v>
      </c>
      <c r="C23" s="73">
        <f t="shared" si="8"/>
        <v>25.494403466967391</v>
      </c>
      <c r="D23" s="73">
        <f>B18*((1.025)^20)</f>
        <v>26.752427757273757</v>
      </c>
      <c r="E23" s="74">
        <f>E18*((1.025)^16)</f>
        <v>26.660014428325681</v>
      </c>
      <c r="F23" s="73">
        <f t="shared" si="9"/>
        <v>28.043841009280026</v>
      </c>
      <c r="G23" s="75">
        <f>E18*((1.025)^20)</f>
        <v>29.427667590234371</v>
      </c>
      <c r="H23" s="74">
        <f>H18*((1.025)^16)</f>
        <v>29.326015871158251</v>
      </c>
      <c r="I23" s="73">
        <f t="shared" si="10"/>
        <v>30.848225110208034</v>
      </c>
      <c r="J23" s="75">
        <f>H18*((1.025)^20)</f>
        <v>32.370434349257813</v>
      </c>
      <c r="K23" s="73">
        <f>K18*((1.025)^16)</f>
        <v>32.258617458274081</v>
      </c>
      <c r="L23" s="73">
        <f t="shared" si="11"/>
        <v>33.933047621228837</v>
      </c>
      <c r="M23" s="75">
        <f>K18*((1.025)^20)</f>
        <v>35.607477784183594</v>
      </c>
      <c r="N23" s="73">
        <f>N18*((1.025)^16)</f>
        <v>35.484479204101497</v>
      </c>
      <c r="O23" s="73">
        <f t="shared" si="12"/>
        <v>37.326352383351733</v>
      </c>
      <c r="P23" s="73">
        <f>N18*((1.025)^20)</f>
        <v>39.168225562601961</v>
      </c>
      <c r="Q23" s="74">
        <f>Q18*((1.025)^16)</f>
        <v>39.032927124511644</v>
      </c>
      <c r="R23" s="73">
        <f t="shared" si="13"/>
        <v>41.058987621686896</v>
      </c>
      <c r="S23" s="75">
        <f>Q18*((1.025)^20)</f>
        <v>43.085048118862154</v>
      </c>
      <c r="T23" s="73"/>
      <c r="U23" s="1">
        <v>18</v>
      </c>
      <c r="V23" s="46">
        <f t="shared" si="0"/>
        <v>25.463345872479472</v>
      </c>
      <c r="W23" s="46">
        <f t="shared" si="1"/>
        <v>28.009677658759642</v>
      </c>
      <c r="X23" s="46">
        <f t="shared" si="2"/>
        <v>30.810645424635606</v>
      </c>
      <c r="Y23" s="46">
        <f t="shared" si="3"/>
        <v>33.891709967099175</v>
      </c>
      <c r="Z23" s="46">
        <f t="shared" si="4"/>
        <v>37.280880963809111</v>
      </c>
      <c r="AA23" s="46">
        <f t="shared" si="5"/>
        <v>41.008969060190026</v>
      </c>
    </row>
    <row r="24" spans="1:27" ht="15" x14ac:dyDescent="0.25">
      <c r="A24" s="44"/>
      <c r="B24" s="36"/>
      <c r="C24" s="46"/>
      <c r="D24" s="36"/>
      <c r="E24" s="81"/>
      <c r="F24" s="81"/>
      <c r="G24" s="81"/>
      <c r="H24" s="81"/>
      <c r="I24" s="73"/>
      <c r="J24" s="73"/>
      <c r="M24" s="40"/>
      <c r="P24" s="1"/>
      <c r="U24" s="1">
        <v>19</v>
      </c>
      <c r="V24" s="46">
        <f t="shared" si="0"/>
        <v>26.099929519291457</v>
      </c>
      <c r="W24" s="46">
        <f t="shared" si="1"/>
        <v>28.709919600228631</v>
      </c>
      <c r="X24" s="46">
        <f t="shared" si="2"/>
        <v>31.580911560251494</v>
      </c>
      <c r="Y24" s="46">
        <f t="shared" si="3"/>
        <v>34.739002716276651</v>
      </c>
      <c r="Z24" s="46">
        <f t="shared" si="4"/>
        <v>38.212902987904336</v>
      </c>
      <c r="AA24" s="46">
        <f t="shared" si="5"/>
        <v>42.034193286694773</v>
      </c>
    </row>
    <row r="25" spans="1:27" ht="15" x14ac:dyDescent="0.25">
      <c r="A25" s="44"/>
      <c r="B25" s="36"/>
      <c r="C25" s="46"/>
      <c r="D25" s="36"/>
      <c r="E25" s="81"/>
      <c r="F25" s="81"/>
      <c r="G25" s="81"/>
      <c r="H25" s="81"/>
      <c r="I25" s="73"/>
      <c r="J25" s="73"/>
      <c r="M25" s="40"/>
      <c r="P25" s="1"/>
      <c r="U25" s="1">
        <v>20</v>
      </c>
      <c r="V25" s="46">
        <f t="shared" si="0"/>
        <v>26.75242775727374</v>
      </c>
      <c r="W25" s="46">
        <f t="shared" si="1"/>
        <v>29.427667590234343</v>
      </c>
      <c r="X25" s="46">
        <f t="shared" si="2"/>
        <v>32.370434349257778</v>
      </c>
      <c r="Y25" s="46">
        <f t="shared" si="3"/>
        <v>35.607477784183565</v>
      </c>
      <c r="Z25" s="46">
        <f t="shared" si="4"/>
        <v>39.16822556260194</v>
      </c>
      <c r="AA25" s="46">
        <f t="shared" si="5"/>
        <v>43.08504811886214</v>
      </c>
    </row>
    <row r="26" spans="1:27" ht="15" x14ac:dyDescent="0.25">
      <c r="A26" s="44"/>
      <c r="B26" s="36"/>
      <c r="C26" s="46"/>
      <c r="D26" s="36"/>
      <c r="E26" s="81"/>
      <c r="F26" s="81"/>
      <c r="G26" s="81"/>
      <c r="H26" s="81"/>
      <c r="I26" s="73"/>
      <c r="J26" s="73"/>
      <c r="M26" s="40"/>
      <c r="P26" s="1"/>
      <c r="V26" s="46"/>
      <c r="W26" s="46"/>
      <c r="X26" s="46"/>
    </row>
    <row r="27" spans="1:27" x14ac:dyDescent="0.2">
      <c r="O27" s="40"/>
      <c r="P27" s="1"/>
      <c r="U27" s="46"/>
    </row>
    <row r="28" spans="1:27" ht="16.5" thickBot="1" x14ac:dyDescent="0.3">
      <c r="A28" s="28" t="s">
        <v>390</v>
      </c>
      <c r="B28" s="28"/>
      <c r="C28" s="28"/>
      <c r="D28" s="28"/>
      <c r="E28" s="28"/>
      <c r="F28" s="28"/>
      <c r="G28" s="28"/>
      <c r="H28" s="28"/>
      <c r="I28" s="28"/>
      <c r="J28" s="28"/>
      <c r="K28" s="28"/>
      <c r="L28" s="28"/>
      <c r="M28" s="28"/>
      <c r="N28" s="28"/>
      <c r="O28" s="28"/>
      <c r="P28" s="28"/>
      <c r="Q28" s="28"/>
      <c r="R28" s="28"/>
      <c r="S28" s="28"/>
      <c r="V28" s="273" t="s">
        <v>388</v>
      </c>
      <c r="W28" s="273"/>
      <c r="X28" s="273"/>
      <c r="Y28" s="273"/>
      <c r="Z28" s="273"/>
      <c r="AA28" s="273"/>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1" t="s">
        <v>130</v>
      </c>
      <c r="V29" s="44" t="s">
        <v>131</v>
      </c>
      <c r="W29" s="44" t="s">
        <v>48</v>
      </c>
      <c r="X29" s="44" t="s">
        <v>50</v>
      </c>
      <c r="Y29" s="44" t="s">
        <v>132</v>
      </c>
      <c r="Z29" s="44" t="s">
        <v>133</v>
      </c>
      <c r="AA29" s="44"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46">
        <f>H8</f>
        <v>14.84202664654018</v>
      </c>
      <c r="W30" s="46">
        <f>I8</f>
        <v>16.326227678571431</v>
      </c>
      <c r="X30" s="46">
        <f>K8</f>
        <v>17.958850446428578</v>
      </c>
      <c r="Y30" s="46">
        <f>M8</f>
        <v>19.754735491071401</v>
      </c>
      <c r="Z30" s="46">
        <f>N8</f>
        <v>21.730209040178583</v>
      </c>
      <c r="AA30" s="46">
        <f>O8</f>
        <v>23.903229944196443</v>
      </c>
    </row>
    <row r="31" spans="1:27" ht="15" thickBot="1" x14ac:dyDescent="0.25">
      <c r="A31" s="276"/>
      <c r="B31" s="65" t="s">
        <v>141</v>
      </c>
      <c r="C31" s="66" t="s">
        <v>142</v>
      </c>
      <c r="D31" s="70" t="s">
        <v>143</v>
      </c>
      <c r="E31" s="68" t="s">
        <v>141</v>
      </c>
      <c r="F31" s="68" t="s">
        <v>142</v>
      </c>
      <c r="G31" s="68" t="s">
        <v>143</v>
      </c>
      <c r="H31" s="65" t="s">
        <v>141</v>
      </c>
      <c r="I31" s="66" t="s">
        <v>142</v>
      </c>
      <c r="J31" s="70" t="s">
        <v>143</v>
      </c>
      <c r="K31" s="65" t="s">
        <v>141</v>
      </c>
      <c r="L31" s="66" t="s">
        <v>142</v>
      </c>
      <c r="M31" s="70" t="s">
        <v>143</v>
      </c>
      <c r="N31" s="65" t="s">
        <v>141</v>
      </c>
      <c r="O31" s="66" t="s">
        <v>142</v>
      </c>
      <c r="P31" s="70" t="s">
        <v>143</v>
      </c>
      <c r="Q31" s="65" t="s">
        <v>141</v>
      </c>
      <c r="R31" s="66" t="s">
        <v>142</v>
      </c>
      <c r="S31" s="70" t="s">
        <v>143</v>
      </c>
      <c r="U31" s="1">
        <v>1</v>
      </c>
      <c r="V31" s="46">
        <f t="shared" ref="V31:V50" si="14">V30*1.025</f>
        <v>15.213077312703684</v>
      </c>
      <c r="W31" s="46">
        <f t="shared" ref="W31:W50" si="15">W30*1.025</f>
        <v>16.734383370535717</v>
      </c>
      <c r="X31" s="46">
        <f t="shared" ref="X31:X50" si="16">X30*1.025</f>
        <v>18.407821707589292</v>
      </c>
      <c r="Y31" s="46">
        <f t="shared" ref="Y31:Y50" si="17">Y30*1.025</f>
        <v>20.248603878348185</v>
      </c>
      <c r="Z31" s="46">
        <f t="shared" ref="Z31:Z50" si="18">Z30*1.025</f>
        <v>22.273464266183044</v>
      </c>
      <c r="AA31" s="46">
        <f t="shared" ref="AA31:AA50" si="19">AA30*1.025</f>
        <v>24.500810692801352</v>
      </c>
    </row>
    <row r="32" spans="1:27" x14ac:dyDescent="0.2">
      <c r="A32" s="72" t="s">
        <v>144</v>
      </c>
      <c r="B32" s="73">
        <f>F8</f>
        <v>14.84202664654018</v>
      </c>
      <c r="C32" s="73">
        <f>MEDIAN(B32,D32)</f>
        <v>15.412632999099744</v>
      </c>
      <c r="D32" s="75">
        <f>B32*((1.025)^3)</f>
        <v>15.983239351659307</v>
      </c>
      <c r="E32" s="73">
        <f>I8</f>
        <v>16.326227678571431</v>
      </c>
      <c r="F32" s="73">
        <f>MEDIAN(E32,G32)</f>
        <v>16.953894603620256</v>
      </c>
      <c r="G32" s="73">
        <f>E32*((1.025)^3)</f>
        <v>17.581561528669084</v>
      </c>
      <c r="H32" s="74">
        <f>K8</f>
        <v>17.958850446428578</v>
      </c>
      <c r="I32" s="73">
        <f>MEDIAN(H32,J32)</f>
        <v>18.649284063982286</v>
      </c>
      <c r="J32" s="75">
        <f>H32*((1.025)^3)</f>
        <v>19.339717681535998</v>
      </c>
      <c r="K32" s="74">
        <f>M8</f>
        <v>19.754735491071401</v>
      </c>
      <c r="L32" s="73">
        <f>MEDIAN(K32,M32)</f>
        <v>20.514212470380478</v>
      </c>
      <c r="M32" s="75">
        <f>K32*((1.025)^3)</f>
        <v>21.273689449689559</v>
      </c>
      <c r="N32" s="74">
        <f>N8</f>
        <v>21.730209040178583</v>
      </c>
      <c r="O32" s="73">
        <f>MEDIAN(N32,P32)</f>
        <v>22.565633717418571</v>
      </c>
      <c r="P32" s="75">
        <f>N32*((1.025)^3)</f>
        <v>23.401058394658563</v>
      </c>
      <c r="Q32" s="74">
        <f>O8</f>
        <v>23.903229944196443</v>
      </c>
      <c r="R32" s="73">
        <f>MEDIAN(Q32,S32)</f>
        <v>24.822197089160433</v>
      </c>
      <c r="S32" s="75">
        <f>Q32*((1.025)^3)</f>
        <v>25.741164234124419</v>
      </c>
      <c r="U32" s="1">
        <v>2</v>
      </c>
      <c r="V32" s="46">
        <f t="shared" si="14"/>
        <v>15.593404245521274</v>
      </c>
      <c r="W32" s="46">
        <f t="shared" si="15"/>
        <v>17.152742954799109</v>
      </c>
      <c r="X32" s="46">
        <f t="shared" si="16"/>
        <v>18.868017250279024</v>
      </c>
      <c r="Y32" s="46">
        <f t="shared" si="17"/>
        <v>20.754818975306886</v>
      </c>
      <c r="Z32" s="46">
        <f t="shared" si="18"/>
        <v>22.830300872837618</v>
      </c>
      <c r="AA32" s="46">
        <f t="shared" si="19"/>
        <v>25.113330960121385</v>
      </c>
    </row>
    <row r="33" spans="1:27" x14ac:dyDescent="0.2">
      <c r="A33" s="76" t="s">
        <v>145</v>
      </c>
      <c r="B33" s="73">
        <f>B32*((1.025)^4)</f>
        <v>16.382820335450788</v>
      </c>
      <c r="C33" s="73">
        <f t="shared" ref="C33:C37" si="20">MEDIAN(B33,D33)</f>
        <v>16.797510475191885</v>
      </c>
      <c r="D33" s="75">
        <f>B32*((1.025)^6)</f>
        <v>17.212200614932982</v>
      </c>
      <c r="E33" s="73">
        <f>E32*((1.025)^4)</f>
        <v>18.02110056688581</v>
      </c>
      <c r="F33" s="73">
        <f t="shared" ref="F33:F37" si="21">MEDIAN(E33,G33)</f>
        <v>18.477259674985106</v>
      </c>
      <c r="G33" s="73">
        <f>E32*((1.025)^6)</f>
        <v>18.933418783084402</v>
      </c>
      <c r="H33" s="74">
        <f>H32*((1.025)^4)</f>
        <v>19.823210623574397</v>
      </c>
      <c r="I33" s="73">
        <f t="shared" ref="I33:I37" si="22">MEDIAN(H33,J33)</f>
        <v>20.324985642483622</v>
      </c>
      <c r="J33" s="75">
        <f>H32*((1.025)^6)</f>
        <v>20.826760661392846</v>
      </c>
      <c r="K33" s="74">
        <f>K32*((1.025)^4)</f>
        <v>21.805531685931797</v>
      </c>
      <c r="L33" s="73">
        <f t="shared" ref="L33:L37" si="23">MEDIAN(K33,M33)</f>
        <v>22.357484206731943</v>
      </c>
      <c r="M33" s="75">
        <f>K32*((1.025)^6)</f>
        <v>22.909436727532089</v>
      </c>
      <c r="N33" s="74">
        <f>N32*((1.025)^4)</f>
        <v>23.986084854525021</v>
      </c>
      <c r="O33" s="73">
        <f t="shared" ref="O33:O37" si="24">MEDIAN(N33,P33)</f>
        <v>24.593232627405186</v>
      </c>
      <c r="P33" s="75">
        <f>N32*((1.025)^6)</f>
        <v>25.200380400285347</v>
      </c>
      <c r="Q33" s="74">
        <f>Q32*((1.025)^4)</f>
        <v>26.384693339977527</v>
      </c>
      <c r="R33" s="73">
        <f t="shared" ref="R33:R37" si="25">MEDIAN(Q33,S33)</f>
        <v>27.052555890145705</v>
      </c>
      <c r="S33" s="75">
        <f>Q32*((1.025)^6)</f>
        <v>27.720418440313885</v>
      </c>
      <c r="U33" s="1">
        <v>3</v>
      </c>
      <c r="V33" s="46">
        <f t="shared" si="14"/>
        <v>15.983239351659304</v>
      </c>
      <c r="W33" s="46">
        <f t="shared" si="15"/>
        <v>17.581561528669084</v>
      </c>
      <c r="X33" s="46">
        <f t="shared" si="16"/>
        <v>19.339717681535998</v>
      </c>
      <c r="Y33" s="46">
        <f t="shared" si="17"/>
        <v>21.273689449689556</v>
      </c>
      <c r="Z33" s="46">
        <f t="shared" si="18"/>
        <v>23.401058394658556</v>
      </c>
      <c r="AA33" s="46">
        <f t="shared" si="19"/>
        <v>25.741164234124415</v>
      </c>
    </row>
    <row r="34" spans="1:27" x14ac:dyDescent="0.2">
      <c r="A34" s="76" t="s">
        <v>146</v>
      </c>
      <c r="B34" s="73">
        <f>B32*((1.025)^7)</f>
        <v>17.642505630306307</v>
      </c>
      <c r="C34" s="73">
        <f t="shared" si="20"/>
        <v>18.089081554073431</v>
      </c>
      <c r="D34" s="75">
        <f>B32*((1.025)^9)</f>
        <v>18.535657477840559</v>
      </c>
      <c r="E34" s="73">
        <f>E32*((1.025)^7)</f>
        <v>19.406754252661514</v>
      </c>
      <c r="F34" s="73">
        <f t="shared" si="21"/>
        <v>19.897987719682007</v>
      </c>
      <c r="G34" s="73">
        <f>E32*((1.025)^9)</f>
        <v>20.389221186702496</v>
      </c>
      <c r="H34" s="74">
        <f>H32*((1.025)^7)</f>
        <v>21.347429677927668</v>
      </c>
      <c r="I34" s="73">
        <f t="shared" si="22"/>
        <v>21.887786491650211</v>
      </c>
      <c r="J34" s="75">
        <f>H32*((1.025)^9)</f>
        <v>22.42814330537275</v>
      </c>
      <c r="K34" s="74">
        <f>K32*((1.025)^7)</f>
        <v>23.482172645720393</v>
      </c>
      <c r="L34" s="73">
        <f t="shared" si="23"/>
        <v>24.076565140815188</v>
      </c>
      <c r="M34" s="75">
        <f>K32*((1.025)^9)</f>
        <v>24.670957635909982</v>
      </c>
      <c r="N34" s="74">
        <f>N32*((1.025)^7)</f>
        <v>25.830389910292482</v>
      </c>
      <c r="O34" s="73">
        <f t="shared" si="24"/>
        <v>26.484221654896757</v>
      </c>
      <c r="P34" s="75">
        <f>N32*((1.025)^9)</f>
        <v>27.138053399501032</v>
      </c>
      <c r="Q34" s="74">
        <f>Q32*((1.025)^7)</f>
        <v>28.413428901321733</v>
      </c>
      <c r="R34" s="73">
        <f t="shared" si="25"/>
        <v>29.132643820386434</v>
      </c>
      <c r="S34" s="75">
        <f>Q32*((1.025)^9)</f>
        <v>29.851858739451139</v>
      </c>
      <c r="U34" s="1">
        <v>4</v>
      </c>
      <c r="V34" s="46">
        <f t="shared" si="14"/>
        <v>16.382820335450784</v>
      </c>
      <c r="W34" s="46">
        <f t="shared" si="15"/>
        <v>18.02110056688581</v>
      </c>
      <c r="X34" s="46">
        <f t="shared" si="16"/>
        <v>19.823210623574397</v>
      </c>
      <c r="Y34" s="46">
        <f t="shared" si="17"/>
        <v>21.805531685931793</v>
      </c>
      <c r="Z34" s="46">
        <f t="shared" si="18"/>
        <v>23.986084854525018</v>
      </c>
      <c r="AA34" s="46">
        <f t="shared" si="19"/>
        <v>26.384693339977524</v>
      </c>
    </row>
    <row r="35" spans="1:27" x14ac:dyDescent="0.2">
      <c r="A35" s="76" t="s">
        <v>147</v>
      </c>
      <c r="B35" s="73">
        <f>B32*((1.025)^10)</f>
        <v>18.999048914786574</v>
      </c>
      <c r="C35" s="73">
        <f t="shared" si="20"/>
        <v>19.479962340442107</v>
      </c>
      <c r="D35" s="75">
        <f>B32*((1.025)^12)</f>
        <v>19.96087576609764</v>
      </c>
      <c r="E35" s="73">
        <f>E32*((1.025)^10)</f>
        <v>20.89895171637006</v>
      </c>
      <c r="F35" s="73">
        <f t="shared" si="21"/>
        <v>21.427956431690674</v>
      </c>
      <c r="G35" s="73">
        <f>E32*((1.025)^12)</f>
        <v>21.956961147011292</v>
      </c>
      <c r="H35" s="74">
        <f>H32*((1.025)^10)</f>
        <v>22.988846888007071</v>
      </c>
      <c r="I35" s="73">
        <f t="shared" si="22"/>
        <v>23.570752074859747</v>
      </c>
      <c r="J35" s="75">
        <f>H32*((1.025)^12)</f>
        <v>24.152657261712424</v>
      </c>
      <c r="K35" s="74">
        <f>K32*((1.025)^10)</f>
        <v>25.287731576807733</v>
      </c>
      <c r="L35" s="73">
        <f t="shared" si="23"/>
        <v>25.927827282345675</v>
      </c>
      <c r="M35" s="75">
        <f>K32*((1.025)^12)</f>
        <v>26.56792298788362</v>
      </c>
      <c r="N35" s="74">
        <f>N32*((1.025)^10)</f>
        <v>27.816504734488561</v>
      </c>
      <c r="O35" s="73">
        <f t="shared" si="24"/>
        <v>28.520610010580299</v>
      </c>
      <c r="P35" s="75">
        <f>N32*((1.025)^12)</f>
        <v>29.224715286672041</v>
      </c>
      <c r="Q35" s="74">
        <f>Q32*((1.025)^10)</f>
        <v>30.598155207937417</v>
      </c>
      <c r="R35" s="73">
        <f t="shared" si="25"/>
        <v>31.372671011638332</v>
      </c>
      <c r="S35" s="75">
        <f>Q32*((1.025)^12)</f>
        <v>32.147186815339246</v>
      </c>
      <c r="U35" s="1">
        <v>5</v>
      </c>
      <c r="V35" s="46">
        <f t="shared" si="14"/>
        <v>16.792390843837051</v>
      </c>
      <c r="W35" s="46">
        <f t="shared" si="15"/>
        <v>18.471628081057954</v>
      </c>
      <c r="X35" s="46">
        <f t="shared" si="16"/>
        <v>20.318790889163754</v>
      </c>
      <c r="Y35" s="46">
        <f t="shared" si="17"/>
        <v>22.350669978080088</v>
      </c>
      <c r="Z35" s="46">
        <f t="shared" si="18"/>
        <v>24.585736975888143</v>
      </c>
      <c r="AA35" s="46">
        <f t="shared" si="19"/>
        <v>27.044310673476961</v>
      </c>
    </row>
    <row r="36" spans="1:27" x14ac:dyDescent="0.2">
      <c r="A36" s="76" t="s">
        <v>148</v>
      </c>
      <c r="B36" s="73">
        <f>B32*((1.025)^13)</f>
        <v>20.459897660250082</v>
      </c>
      <c r="C36" s="73">
        <f t="shared" si="20"/>
        <v>20.977788819775164</v>
      </c>
      <c r="D36" s="73">
        <f>B32*((1.025)^15)</f>
        <v>21.495679979300242</v>
      </c>
      <c r="E36" s="74">
        <f>E32*((1.025)^13)</f>
        <v>22.505885175686572</v>
      </c>
      <c r="F36" s="73">
        <f t="shared" si="21"/>
        <v>23.07556539419614</v>
      </c>
      <c r="G36" s="75">
        <f>E32*((1.025)^15)</f>
        <v>23.645245612705708</v>
      </c>
      <c r="H36" s="73">
        <f>H32*((1.025)^13)</f>
        <v>24.756473693255234</v>
      </c>
      <c r="I36" s="73">
        <f t="shared" si="22"/>
        <v>25.383121933615758</v>
      </c>
      <c r="J36" s="75">
        <f>H32*((1.025)^15)</f>
        <v>26.009770173976282</v>
      </c>
      <c r="K36" s="74">
        <f>K32*((1.025)^13)</f>
        <v>27.23212106258071</v>
      </c>
      <c r="L36" s="73">
        <f t="shared" si="23"/>
        <v>27.921434126977285</v>
      </c>
      <c r="M36" s="75">
        <f>K32*((1.025)^15)</f>
        <v>28.610747191373861</v>
      </c>
      <c r="N36" s="74">
        <f>N32*((1.025)^13)</f>
        <v>29.955333168838838</v>
      </c>
      <c r="O36" s="73">
        <f t="shared" si="24"/>
        <v>30.713577539675072</v>
      </c>
      <c r="P36" s="75">
        <f>N32*((1.025)^15)</f>
        <v>31.471821910511306</v>
      </c>
      <c r="Q36" s="74">
        <f>Q32*((1.025)^13)</f>
        <v>32.950866485722727</v>
      </c>
      <c r="R36" s="73">
        <f t="shared" si="25"/>
        <v>33.784935293642583</v>
      </c>
      <c r="S36" s="75">
        <f>Q32*((1.025)^15)</f>
        <v>34.619004101562439</v>
      </c>
      <c r="T36" s="46"/>
      <c r="U36" s="1">
        <v>6</v>
      </c>
      <c r="V36" s="46">
        <f t="shared" si="14"/>
        <v>17.212200614932975</v>
      </c>
      <c r="W36" s="46">
        <f t="shared" si="15"/>
        <v>18.933418783084402</v>
      </c>
      <c r="X36" s="46">
        <f t="shared" si="16"/>
        <v>20.826760661392846</v>
      </c>
      <c r="Y36" s="46">
        <f t="shared" si="17"/>
        <v>22.909436727532089</v>
      </c>
      <c r="Z36" s="46">
        <f t="shared" si="18"/>
        <v>25.200380400285344</v>
      </c>
      <c r="AA36" s="46">
        <f t="shared" si="19"/>
        <v>27.720418440313882</v>
      </c>
    </row>
    <row r="37" spans="1:27" x14ac:dyDescent="0.2">
      <c r="A37" s="76" t="s">
        <v>149</v>
      </c>
      <c r="B37" s="73">
        <f>B32*((1.025)^16)</f>
        <v>22.033071978782747</v>
      </c>
      <c r="C37" s="73">
        <f t="shared" si="20"/>
        <v>23.176730424515807</v>
      </c>
      <c r="D37" s="73">
        <f>B32*((1.025)^20)</f>
        <v>24.320388870248866</v>
      </c>
      <c r="E37" s="74">
        <f>E32*((1.025)^16)</f>
        <v>24.236376753023347</v>
      </c>
      <c r="F37" s="73">
        <f t="shared" si="21"/>
        <v>25.494400917527297</v>
      </c>
      <c r="G37" s="75">
        <f>E32*((1.025)^20)</f>
        <v>26.752425082031248</v>
      </c>
      <c r="H37" s="74">
        <f>H32*((1.025)^16)</f>
        <v>26.660014428325688</v>
      </c>
      <c r="I37" s="73">
        <f t="shared" si="22"/>
        <v>28.043841009280033</v>
      </c>
      <c r="J37" s="75">
        <f>H32*((1.025)^20)</f>
        <v>29.427667590234378</v>
      </c>
      <c r="K37" s="73">
        <f>K32*((1.025)^16)</f>
        <v>29.326015871158205</v>
      </c>
      <c r="L37" s="73">
        <f t="shared" si="23"/>
        <v>30.848225110207981</v>
      </c>
      <c r="M37" s="75">
        <f>K32*((1.025)^20)</f>
        <v>32.370434349257756</v>
      </c>
      <c r="N37" s="73">
        <f>N32*((1.025)^16)</f>
        <v>32.258617458274088</v>
      </c>
      <c r="O37" s="73">
        <f t="shared" si="24"/>
        <v>33.933047621228845</v>
      </c>
      <c r="P37" s="73">
        <f>N32*((1.025)^20)</f>
        <v>35.607477784183601</v>
      </c>
      <c r="Q37" s="74">
        <f>Q32*((1.025)^16)</f>
        <v>35.484479204101497</v>
      </c>
      <c r="R37" s="73">
        <f t="shared" si="25"/>
        <v>37.326352383351733</v>
      </c>
      <c r="S37" s="75">
        <f>Q32*((1.025)^20)</f>
        <v>39.168225562601968</v>
      </c>
      <c r="U37" s="1">
        <v>7</v>
      </c>
      <c r="V37" s="46">
        <f t="shared" si="14"/>
        <v>17.642505630306299</v>
      </c>
      <c r="W37" s="46">
        <f t="shared" si="15"/>
        <v>19.406754252661511</v>
      </c>
      <c r="X37" s="46">
        <f t="shared" si="16"/>
        <v>21.347429677927664</v>
      </c>
      <c r="Y37" s="46">
        <f t="shared" si="17"/>
        <v>23.482172645720389</v>
      </c>
      <c r="Z37" s="46">
        <f t="shared" si="18"/>
        <v>25.830389910292475</v>
      </c>
      <c r="AA37" s="46">
        <f t="shared" si="19"/>
        <v>28.413428901321726</v>
      </c>
    </row>
    <row r="38" spans="1:27" ht="15" x14ac:dyDescent="0.25">
      <c r="A38" s="44"/>
      <c r="B38" s="36"/>
      <c r="C38" s="46"/>
      <c r="D38" s="36"/>
      <c r="E38" s="81"/>
      <c r="F38" s="81"/>
      <c r="G38" s="81"/>
      <c r="H38" s="81"/>
      <c r="I38" s="73"/>
      <c r="J38" s="73"/>
      <c r="M38" s="40"/>
      <c r="P38" s="1"/>
      <c r="U38" s="1">
        <v>8</v>
      </c>
      <c r="V38" s="46">
        <f t="shared" si="14"/>
        <v>18.083568271063957</v>
      </c>
      <c r="W38" s="46">
        <f t="shared" si="15"/>
        <v>19.891923108978048</v>
      </c>
      <c r="X38" s="46">
        <f t="shared" si="16"/>
        <v>21.881115419875854</v>
      </c>
      <c r="Y38" s="46">
        <f t="shared" si="17"/>
        <v>24.069226961863396</v>
      </c>
      <c r="Z38" s="46">
        <f t="shared" si="18"/>
        <v>26.476149658049785</v>
      </c>
      <c r="AA38" s="46">
        <f t="shared" si="19"/>
        <v>29.123764623854768</v>
      </c>
    </row>
    <row r="39" spans="1:27" x14ac:dyDescent="0.2">
      <c r="O39" s="40"/>
      <c r="P39" s="1"/>
      <c r="U39" s="1">
        <v>9</v>
      </c>
      <c r="V39" s="46">
        <f t="shared" si="14"/>
        <v>18.535657477840555</v>
      </c>
      <c r="W39" s="46">
        <f t="shared" si="15"/>
        <v>20.389221186702496</v>
      </c>
      <c r="X39" s="46">
        <f t="shared" si="16"/>
        <v>22.42814330537275</v>
      </c>
      <c r="Y39" s="46">
        <f t="shared" si="17"/>
        <v>24.670957635909978</v>
      </c>
      <c r="Z39" s="46">
        <f t="shared" si="18"/>
        <v>27.138053399501025</v>
      </c>
      <c r="AA39" s="46">
        <f t="shared" si="19"/>
        <v>29.851858739451135</v>
      </c>
    </row>
    <row r="40" spans="1:27" x14ac:dyDescent="0.2">
      <c r="U40" s="1">
        <v>10</v>
      </c>
      <c r="V40" s="46">
        <f t="shared" si="14"/>
        <v>18.999048914786567</v>
      </c>
      <c r="W40" s="46">
        <f t="shared" si="15"/>
        <v>20.898951716370057</v>
      </c>
      <c r="X40" s="46">
        <f t="shared" si="16"/>
        <v>22.988846888007068</v>
      </c>
      <c r="Y40" s="46">
        <f t="shared" si="17"/>
        <v>25.287731576807726</v>
      </c>
      <c r="Z40" s="46">
        <f t="shared" si="18"/>
        <v>27.81650473448855</v>
      </c>
      <c r="AA40" s="46">
        <f t="shared" si="19"/>
        <v>30.59815520793741</v>
      </c>
    </row>
    <row r="41" spans="1:27" x14ac:dyDescent="0.2">
      <c r="U41" s="1">
        <v>11</v>
      </c>
      <c r="V41" s="46">
        <f t="shared" si="14"/>
        <v>19.474025137656231</v>
      </c>
      <c r="W41" s="46">
        <f t="shared" si="15"/>
        <v>21.421425509279306</v>
      </c>
      <c r="X41" s="46">
        <f t="shared" si="16"/>
        <v>23.563568060207242</v>
      </c>
      <c r="Y41" s="46">
        <f t="shared" si="17"/>
        <v>25.919924866227916</v>
      </c>
      <c r="Z41" s="46">
        <f t="shared" si="18"/>
        <v>28.511917352850762</v>
      </c>
      <c r="AA41" s="46">
        <f t="shared" si="19"/>
        <v>31.363109088135843</v>
      </c>
    </row>
    <row r="42" spans="1:27" x14ac:dyDescent="0.2">
      <c r="D42" s="83"/>
      <c r="U42" s="1">
        <v>12</v>
      </c>
      <c r="V42" s="46">
        <f t="shared" si="14"/>
        <v>19.960875766097633</v>
      </c>
      <c r="W42" s="46">
        <f t="shared" si="15"/>
        <v>21.956961147011288</v>
      </c>
      <c r="X42" s="46">
        <f t="shared" si="16"/>
        <v>24.15265726171242</v>
      </c>
      <c r="Y42" s="46">
        <f t="shared" si="17"/>
        <v>26.567922987883613</v>
      </c>
      <c r="Z42" s="46">
        <f t="shared" si="18"/>
        <v>29.22471528667203</v>
      </c>
      <c r="AA42" s="46">
        <f t="shared" si="19"/>
        <v>32.147186815339239</v>
      </c>
    </row>
    <row r="43" spans="1:27" x14ac:dyDescent="0.2">
      <c r="D43" s="83"/>
      <c r="G43" s="35"/>
      <c r="U43" s="1">
        <v>13</v>
      </c>
      <c r="V43" s="46">
        <f t="shared" si="14"/>
        <v>20.459897660250071</v>
      </c>
      <c r="W43" s="46">
        <f t="shared" si="15"/>
        <v>22.505885175686569</v>
      </c>
      <c r="X43" s="46">
        <f t="shared" si="16"/>
        <v>24.756473693255227</v>
      </c>
      <c r="Y43" s="46">
        <f t="shared" si="17"/>
        <v>27.232121062580699</v>
      </c>
      <c r="Z43" s="46">
        <f t="shared" si="18"/>
        <v>29.955333168838827</v>
      </c>
      <c r="AA43" s="46">
        <f t="shared" si="19"/>
        <v>32.95086648572272</v>
      </c>
    </row>
    <row r="44" spans="1:27" x14ac:dyDescent="0.2">
      <c r="D44" s="83"/>
      <c r="U44" s="1">
        <v>14</v>
      </c>
      <c r="V44" s="46">
        <f t="shared" si="14"/>
        <v>20.971395101756322</v>
      </c>
      <c r="W44" s="46">
        <f t="shared" si="15"/>
        <v>23.06853230507873</v>
      </c>
      <c r="X44" s="46">
        <f t="shared" si="16"/>
        <v>25.375385535586606</v>
      </c>
      <c r="Y44" s="46">
        <f t="shared" si="17"/>
        <v>27.912924089145214</v>
      </c>
      <c r="Z44" s="46">
        <f t="shared" si="18"/>
        <v>30.704216498059797</v>
      </c>
      <c r="AA44" s="46">
        <f t="shared" si="19"/>
        <v>33.774638147865787</v>
      </c>
    </row>
    <row r="45" spans="1:27" x14ac:dyDescent="0.2">
      <c r="U45" s="1">
        <v>15</v>
      </c>
      <c r="V45" s="46">
        <f t="shared" si="14"/>
        <v>21.495679979300228</v>
      </c>
      <c r="W45" s="46">
        <f t="shared" si="15"/>
        <v>23.645245612705697</v>
      </c>
      <c r="X45" s="46">
        <f t="shared" si="16"/>
        <v>26.009770173976268</v>
      </c>
      <c r="Y45" s="46">
        <f t="shared" si="17"/>
        <v>28.610747191373843</v>
      </c>
      <c r="Z45" s="46">
        <f t="shared" si="18"/>
        <v>31.471821910511288</v>
      </c>
      <c r="AA45" s="46">
        <f t="shared" si="19"/>
        <v>34.619004101562432</v>
      </c>
    </row>
    <row r="46" spans="1:27" x14ac:dyDescent="0.2">
      <c r="U46" s="1">
        <v>16</v>
      </c>
      <c r="V46" s="46">
        <f t="shared" si="14"/>
        <v>22.033071978782733</v>
      </c>
      <c r="W46" s="46">
        <f t="shared" si="15"/>
        <v>24.236376753023336</v>
      </c>
      <c r="X46" s="46">
        <f t="shared" si="16"/>
        <v>26.66001442832567</v>
      </c>
      <c r="Y46" s="46">
        <f t="shared" si="17"/>
        <v>29.326015871158187</v>
      </c>
      <c r="Z46" s="46">
        <f t="shared" si="18"/>
        <v>32.258617458274067</v>
      </c>
      <c r="AA46" s="46">
        <f t="shared" si="19"/>
        <v>35.48447920410149</v>
      </c>
    </row>
    <row r="47" spans="1:27" x14ac:dyDescent="0.2">
      <c r="U47" s="1">
        <v>17</v>
      </c>
      <c r="V47" s="46">
        <f t="shared" si="14"/>
        <v>22.583898778252298</v>
      </c>
      <c r="W47" s="46">
        <f t="shared" si="15"/>
        <v>24.842286171848919</v>
      </c>
      <c r="X47" s="46">
        <f t="shared" si="16"/>
        <v>27.326514789033808</v>
      </c>
      <c r="Y47" s="46">
        <f t="shared" si="17"/>
        <v>30.05916626793714</v>
      </c>
      <c r="Z47" s="46">
        <f t="shared" si="18"/>
        <v>33.065082894730914</v>
      </c>
      <c r="AA47" s="46">
        <f t="shared" si="19"/>
        <v>36.371591184204021</v>
      </c>
    </row>
    <row r="48" spans="1:27" x14ac:dyDescent="0.2">
      <c r="U48" s="1">
        <v>18</v>
      </c>
      <c r="V48" s="46">
        <f t="shared" si="14"/>
        <v>23.148496247708604</v>
      </c>
      <c r="W48" s="46">
        <f t="shared" si="15"/>
        <v>25.463343326145139</v>
      </c>
      <c r="X48" s="46">
        <f t="shared" si="16"/>
        <v>28.009677658759653</v>
      </c>
      <c r="Y48" s="46">
        <f t="shared" si="17"/>
        <v>30.810645424635567</v>
      </c>
      <c r="Z48" s="46">
        <f t="shared" si="18"/>
        <v>33.891709967099182</v>
      </c>
      <c r="AA48" s="46">
        <f t="shared" si="19"/>
        <v>37.280880963809118</v>
      </c>
    </row>
    <row r="49" spans="21:27" x14ac:dyDescent="0.2">
      <c r="U49" s="1">
        <v>19</v>
      </c>
      <c r="V49" s="46">
        <f t="shared" si="14"/>
        <v>23.727208653901318</v>
      </c>
      <c r="W49" s="46">
        <f t="shared" si="15"/>
        <v>26.099926909298766</v>
      </c>
      <c r="X49" s="46">
        <f t="shared" si="16"/>
        <v>28.709919600228641</v>
      </c>
      <c r="Y49" s="46">
        <f t="shared" si="17"/>
        <v>31.580911560251455</v>
      </c>
      <c r="Z49" s="46">
        <f t="shared" si="18"/>
        <v>34.739002716276659</v>
      </c>
      <c r="AA49" s="46">
        <f t="shared" si="19"/>
        <v>38.212902987904343</v>
      </c>
    </row>
    <row r="50" spans="21:27" x14ac:dyDescent="0.2">
      <c r="U50" s="1">
        <v>20</v>
      </c>
      <c r="V50" s="46">
        <f t="shared" si="14"/>
        <v>24.320388870248848</v>
      </c>
      <c r="W50" s="46">
        <f t="shared" si="15"/>
        <v>26.752425082031234</v>
      </c>
      <c r="X50" s="46">
        <f t="shared" si="16"/>
        <v>29.427667590234353</v>
      </c>
      <c r="Y50" s="46">
        <f t="shared" si="17"/>
        <v>32.370434349257735</v>
      </c>
      <c r="Z50" s="46">
        <f t="shared" si="18"/>
        <v>35.607477784183573</v>
      </c>
      <c r="AA50" s="46">
        <f t="shared" si="19"/>
        <v>39.168225562601947</v>
      </c>
    </row>
  </sheetData>
  <mergeCells count="48">
    <mergeCell ref="N30:P30"/>
    <mergeCell ref="Q30:S30"/>
    <mergeCell ref="V28:AA28"/>
    <mergeCell ref="N29:P29"/>
    <mergeCell ref="Q29:S29"/>
    <mergeCell ref="A29:A31"/>
    <mergeCell ref="B29:D29"/>
    <mergeCell ref="E29:G29"/>
    <mergeCell ref="H29:J29"/>
    <mergeCell ref="K29:M29"/>
    <mergeCell ref="B30:D30"/>
    <mergeCell ref="E30:G30"/>
    <mergeCell ref="H30:J30"/>
    <mergeCell ref="K30:M30"/>
    <mergeCell ref="Q15:S15"/>
    <mergeCell ref="B16:D16"/>
    <mergeCell ref="E16:G16"/>
    <mergeCell ref="H16:J16"/>
    <mergeCell ref="K16:M16"/>
    <mergeCell ref="N16:P16"/>
    <mergeCell ref="Q16:S16"/>
    <mergeCell ref="K15:M15"/>
    <mergeCell ref="N15:P15"/>
    <mergeCell ref="A7:H7"/>
    <mergeCell ref="A9:H9"/>
    <mergeCell ref="A15:A17"/>
    <mergeCell ref="B15:D15"/>
    <mergeCell ref="E15:G15"/>
    <mergeCell ref="H15:J15"/>
    <mergeCell ref="A1:R1"/>
    <mergeCell ref="A3:A5"/>
    <mergeCell ref="B3:C3"/>
    <mergeCell ref="D3:E3"/>
    <mergeCell ref="I3:J3"/>
    <mergeCell ref="N4:N5"/>
    <mergeCell ref="O4:O5"/>
    <mergeCell ref="M4:M5"/>
    <mergeCell ref="F4:F5"/>
    <mergeCell ref="G4:G5"/>
    <mergeCell ref="H4:H5"/>
    <mergeCell ref="I4:J4"/>
    <mergeCell ref="K3:L3"/>
    <mergeCell ref="K4:L4"/>
    <mergeCell ref="V3:AA3"/>
    <mergeCell ref="B4:B5"/>
    <mergeCell ref="C4:C5"/>
    <mergeCell ref="D4:D5"/>
    <mergeCell ref="E4:E5"/>
  </mergeCells>
  <pageMargins left="0.7" right="0.7" top="0.75" bottom="0.75" header="0.3" footer="0.3"/>
  <pageSetup orientation="portrait" r:id="rId1"/>
  <ignoredErrors>
    <ignoredError sqref="L7:L8" formula="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6C9D-539A-4F7B-94A4-410F3D10AC63}">
  <sheetPr>
    <tabColor rgb="FF5E82A3"/>
  </sheetPr>
  <dimension ref="A1:AH12"/>
  <sheetViews>
    <sheetView zoomScaleNormal="100" workbookViewId="0">
      <selection activeCell="F6" sqref="F6:F1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391</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3" spans="1:26" ht="20.25" x14ac:dyDescent="0.3">
      <c r="A3" s="172"/>
      <c r="B3" s="172"/>
      <c r="C3" s="172"/>
      <c r="D3" s="172"/>
      <c r="E3" s="172"/>
      <c r="F3" s="172"/>
      <c r="G3" s="172"/>
      <c r="H3" s="172"/>
      <c r="I3" s="172"/>
      <c r="J3" s="172"/>
      <c r="K3" s="172"/>
      <c r="L3" s="172"/>
      <c r="M3" s="172"/>
      <c r="N3" s="172"/>
      <c r="O3" s="172"/>
    </row>
    <row r="4" spans="1:26" ht="15.75" x14ac:dyDescent="0.25">
      <c r="A4" s="314" t="s">
        <v>154</v>
      </c>
      <c r="B4" s="314"/>
      <c r="C4" s="314"/>
      <c r="E4" s="314" t="s">
        <v>155</v>
      </c>
      <c r="F4" s="314"/>
      <c r="G4" s="314"/>
      <c r="I4" s="314" t="s">
        <v>156</v>
      </c>
      <c r="J4" s="314"/>
      <c r="K4" s="314"/>
      <c r="M4" s="34" t="s">
        <v>157</v>
      </c>
      <c r="N4" s="34"/>
      <c r="O4" s="34"/>
    </row>
    <row r="5" spans="1:26" x14ac:dyDescent="0.25">
      <c r="A5" s="16" t="s">
        <v>158</v>
      </c>
      <c r="B5" s="16" t="s">
        <v>159</v>
      </c>
      <c r="C5" s="16" t="s">
        <v>160</v>
      </c>
      <c r="E5" s="16" t="s">
        <v>158</v>
      </c>
      <c r="F5" s="16" t="s">
        <v>159</v>
      </c>
      <c r="G5" s="16" t="s">
        <v>160</v>
      </c>
      <c r="I5" s="25" t="s">
        <v>161</v>
      </c>
      <c r="J5" s="16" t="s">
        <v>159</v>
      </c>
      <c r="K5" s="16" t="s">
        <v>160</v>
      </c>
      <c r="M5" s="25" t="s">
        <v>162</v>
      </c>
      <c r="N5" s="16" t="s">
        <v>159</v>
      </c>
      <c r="O5" s="16" t="s">
        <v>160</v>
      </c>
    </row>
    <row r="6" spans="1:26" x14ac:dyDescent="0.25">
      <c r="A6" s="17" t="s">
        <v>163</v>
      </c>
      <c r="B6" s="18">
        <v>1991</v>
      </c>
      <c r="C6" s="19">
        <v>6.0821750420039712E-2</v>
      </c>
      <c r="E6" s="23" t="s">
        <v>164</v>
      </c>
      <c r="F6" s="18">
        <f>32753*G6</f>
        <v>3832.1010000000001</v>
      </c>
      <c r="G6" s="19">
        <v>0.11700000000000001</v>
      </c>
      <c r="I6" s="23" t="s">
        <v>165</v>
      </c>
      <c r="J6" s="18">
        <v>24531</v>
      </c>
      <c r="K6" s="19">
        <v>0.74938139605926379</v>
      </c>
      <c r="M6" s="23" t="s">
        <v>166</v>
      </c>
      <c r="N6" s="18">
        <v>2165</v>
      </c>
      <c r="O6" s="19">
        <v>6.6137162058958296E-2</v>
      </c>
    </row>
    <row r="7" spans="1:26" x14ac:dyDescent="0.25">
      <c r="A7" s="20" t="s">
        <v>167</v>
      </c>
      <c r="B7" s="21">
        <v>8778</v>
      </c>
      <c r="C7" s="22">
        <v>0.26815335268061707</v>
      </c>
      <c r="E7" s="24" t="s">
        <v>168</v>
      </c>
      <c r="F7" s="18">
        <f t="shared" ref="F7:F12" si="0">32753*G7</f>
        <v>10480.960000000001</v>
      </c>
      <c r="G7" s="19">
        <v>0.32</v>
      </c>
      <c r="I7" s="24" t="s">
        <v>169</v>
      </c>
      <c r="J7" s="21">
        <v>4856</v>
      </c>
      <c r="K7" s="19">
        <v>0.14834275240568198</v>
      </c>
      <c r="M7" s="24" t="s">
        <v>170</v>
      </c>
      <c r="N7" s="21">
        <v>30588</v>
      </c>
      <c r="O7" s="22">
        <v>0.93441270811058497</v>
      </c>
    </row>
    <row r="8" spans="1:26" x14ac:dyDescent="0.25">
      <c r="A8" s="20" t="s">
        <v>171</v>
      </c>
      <c r="B8" s="21">
        <v>6245</v>
      </c>
      <c r="C8" s="22">
        <v>0.19077440048877348</v>
      </c>
      <c r="E8" s="24" t="s">
        <v>172</v>
      </c>
      <c r="F8" s="18">
        <f t="shared" si="0"/>
        <v>8319.2620000000006</v>
      </c>
      <c r="G8" s="19">
        <v>0.254</v>
      </c>
      <c r="I8" s="24" t="s">
        <v>173</v>
      </c>
      <c r="J8" s="21">
        <v>1810</v>
      </c>
      <c r="K8" s="19">
        <v>5.5292500381854286E-2</v>
      </c>
    </row>
    <row r="9" spans="1:26" x14ac:dyDescent="0.25">
      <c r="A9" s="20" t="s">
        <v>174</v>
      </c>
      <c r="B9" s="21">
        <v>4957</v>
      </c>
      <c r="C9" s="22">
        <v>0.15142813502367497</v>
      </c>
      <c r="E9" s="24" t="s">
        <v>175</v>
      </c>
      <c r="F9" s="18">
        <f t="shared" si="0"/>
        <v>3701.0889999999999</v>
      </c>
      <c r="G9" s="19">
        <v>0.113</v>
      </c>
      <c r="I9" s="24" t="s">
        <v>176</v>
      </c>
      <c r="J9" s="21">
        <v>990</v>
      </c>
      <c r="K9" s="19">
        <v>3.0242859324881625E-2</v>
      </c>
    </row>
    <row r="10" spans="1:26" x14ac:dyDescent="0.25">
      <c r="A10" s="20" t="s">
        <v>177</v>
      </c>
      <c r="B10" s="21">
        <v>4924</v>
      </c>
      <c r="C10" s="22">
        <v>0.15042003971284557</v>
      </c>
      <c r="E10" s="24" t="s">
        <v>178</v>
      </c>
      <c r="F10" s="18">
        <f t="shared" si="0"/>
        <v>5207.7269999999999</v>
      </c>
      <c r="G10" s="19">
        <v>0.159</v>
      </c>
      <c r="I10" s="24" t="s">
        <v>179</v>
      </c>
      <c r="J10" s="21">
        <v>464</v>
      </c>
      <c r="K10" s="19">
        <v>1.4174431037116237E-2</v>
      </c>
    </row>
    <row r="11" spans="1:26" x14ac:dyDescent="0.25">
      <c r="A11" s="20" t="s">
        <v>180</v>
      </c>
      <c r="B11" s="21">
        <v>3623</v>
      </c>
      <c r="C11" s="22">
        <v>0.11067664579196579</v>
      </c>
      <c r="E11" s="24" t="s">
        <v>181</v>
      </c>
      <c r="F11" s="18">
        <f t="shared" si="0"/>
        <v>1015.343</v>
      </c>
      <c r="G11" s="19">
        <v>3.1E-2</v>
      </c>
      <c r="I11" s="24" t="s">
        <v>182</v>
      </c>
      <c r="J11" s="21">
        <v>96</v>
      </c>
      <c r="K11" s="19">
        <v>2.9326409042309456E-3</v>
      </c>
    </row>
    <row r="12" spans="1:26" x14ac:dyDescent="0.25">
      <c r="A12" s="20" t="s">
        <v>183</v>
      </c>
      <c r="B12" s="21">
        <v>2235</v>
      </c>
      <c r="C12" s="22">
        <v>6.8275546051626695E-2</v>
      </c>
      <c r="E12" s="24" t="s">
        <v>184</v>
      </c>
      <c r="F12" s="18">
        <f t="shared" si="0"/>
        <v>196.518</v>
      </c>
      <c r="G12" s="19">
        <v>6.0000000000000001E-3</v>
      </c>
      <c r="I12" s="24" t="s">
        <v>185</v>
      </c>
      <c r="J12" s="21">
        <v>6</v>
      </c>
      <c r="K12" s="19">
        <v>1.832900565144341E-4</v>
      </c>
    </row>
  </sheetData>
  <mergeCells count="4">
    <mergeCell ref="A1:Z1"/>
    <mergeCell ref="A4:C4"/>
    <mergeCell ref="E4:G4"/>
    <mergeCell ref="I4:K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6CD76-7BC2-4EAA-9D6E-1A69CC8ADD73}">
  <sheetPr>
    <tabColor theme="5" tint="0.79998168889431442"/>
    <pageSetUpPr fitToPage="1"/>
  </sheetPr>
  <dimension ref="A1:Q32"/>
  <sheetViews>
    <sheetView zoomScaleNormal="100" workbookViewId="0">
      <selection sqref="A1:P1"/>
    </sheetView>
  </sheetViews>
  <sheetFormatPr defaultColWidth="9.140625" defaultRowHeight="14.25" x14ac:dyDescent="0.2"/>
  <cols>
    <col min="1" max="1" width="31" style="1" bestFit="1" customWidth="1"/>
    <col min="2" max="2" width="9.85546875" style="39" customWidth="1"/>
    <col min="3" max="3" width="13" style="39" customWidth="1"/>
    <col min="4" max="4" width="11" style="1" customWidth="1"/>
    <col min="5" max="5" width="12.7109375" style="1" customWidth="1"/>
    <col min="6" max="6" width="10.5703125" style="1" bestFit="1" customWidth="1"/>
    <col min="7" max="8" width="9.140625" style="1"/>
    <col min="9" max="9" width="7.5703125" style="1" bestFit="1" customWidth="1"/>
    <col min="10" max="10" width="13.28515625" style="1" customWidth="1"/>
    <col min="11" max="11" width="9.140625" style="1"/>
    <col min="12" max="12" width="13.28515625" style="1" bestFit="1" customWidth="1"/>
    <col min="13" max="14" width="9.140625" style="1"/>
    <col min="15" max="15" width="10.7109375" style="1" customWidth="1"/>
    <col min="16" max="16" width="68.140625" style="40" bestFit="1" customWidth="1"/>
    <col min="17" max="17" width="2.85546875" style="84" customWidth="1"/>
    <col min="18" max="23" width="9.140625" style="1"/>
    <col min="24" max="24" width="52.140625" style="1" customWidth="1"/>
    <col min="25" max="25" width="2.85546875" style="1" customWidth="1"/>
    <col min="26"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17" ht="23.25" x14ac:dyDescent="0.35">
      <c r="A1" s="262"/>
      <c r="B1" s="262"/>
      <c r="C1" s="262"/>
      <c r="D1" s="262"/>
      <c r="E1" s="262"/>
      <c r="F1" s="262"/>
      <c r="G1" s="262"/>
      <c r="H1" s="262"/>
      <c r="I1" s="262"/>
      <c r="J1" s="262"/>
      <c r="K1" s="262"/>
      <c r="L1" s="262"/>
      <c r="M1" s="262"/>
      <c r="N1" s="262"/>
      <c r="O1" s="262"/>
      <c r="P1" s="262"/>
    </row>
    <row r="2" spans="1:17" x14ac:dyDescent="0.2">
      <c r="A2" s="38"/>
    </row>
    <row r="3" spans="1:17" ht="15" x14ac:dyDescent="0.25">
      <c r="A3" s="15" t="s">
        <v>26</v>
      </c>
    </row>
    <row r="4" spans="1:17" ht="80.25" customHeight="1" x14ac:dyDescent="0.2">
      <c r="A4" s="268" t="s">
        <v>27</v>
      </c>
      <c r="B4" s="268"/>
      <c r="C4" s="268"/>
      <c r="D4" s="268"/>
      <c r="E4" s="268"/>
      <c r="F4" s="268"/>
      <c r="G4" s="268"/>
      <c r="H4" s="268"/>
      <c r="I4" s="268"/>
      <c r="J4" s="268"/>
      <c r="K4" s="268"/>
      <c r="L4" s="268"/>
      <c r="M4" s="268"/>
      <c r="N4" s="268"/>
      <c r="O4" s="268"/>
      <c r="P4" s="268"/>
    </row>
    <row r="5" spans="1:17" ht="96.75" customHeight="1" x14ac:dyDescent="0.2">
      <c r="A5" s="268"/>
      <c r="B5" s="268"/>
      <c r="C5" s="268"/>
      <c r="D5" s="268"/>
      <c r="E5" s="268"/>
      <c r="F5" s="268"/>
      <c r="G5" s="268"/>
      <c r="H5" s="268"/>
      <c r="I5" s="268"/>
      <c r="J5" s="268"/>
      <c r="K5" s="268"/>
      <c r="L5" s="268"/>
      <c r="M5" s="268"/>
      <c r="N5" s="268"/>
      <c r="O5" s="268"/>
      <c r="P5" s="268"/>
    </row>
    <row r="6" spans="1:17" ht="15" thickBot="1" x14ac:dyDescent="0.25"/>
    <row r="7" spans="1:17" ht="15.75" thickBot="1" x14ac:dyDescent="0.3">
      <c r="A7" s="263" t="s">
        <v>28</v>
      </c>
      <c r="B7" s="264"/>
      <c r="C7" s="264"/>
      <c r="D7" s="264"/>
      <c r="E7" s="264"/>
      <c r="F7" s="264"/>
      <c r="G7" s="264"/>
      <c r="H7" s="264"/>
      <c r="I7" s="264"/>
      <c r="J7" s="264"/>
      <c r="K7" s="264"/>
      <c r="L7" s="264"/>
      <c r="M7" s="264"/>
      <c r="N7" s="264"/>
      <c r="O7" s="264"/>
      <c r="P7" s="265"/>
      <c r="Q7" s="105"/>
    </row>
    <row r="8" spans="1:17" ht="15.75" customHeight="1" thickBot="1" x14ac:dyDescent="0.3">
      <c r="A8" s="238" t="s">
        <v>29</v>
      </c>
      <c r="B8" s="260" t="s">
        <v>30</v>
      </c>
      <c r="C8" s="261"/>
      <c r="D8" s="241" t="s">
        <v>31</v>
      </c>
      <c r="E8" s="244" t="s">
        <v>32</v>
      </c>
      <c r="F8" s="41" t="s">
        <v>33</v>
      </c>
      <c r="G8" s="42" t="s">
        <v>33</v>
      </c>
      <c r="H8" s="42" t="s">
        <v>33</v>
      </c>
      <c r="I8" s="237" t="s">
        <v>33</v>
      </c>
      <c r="J8" s="237"/>
      <c r="K8" s="237" t="s">
        <v>34</v>
      </c>
      <c r="L8" s="237"/>
      <c r="M8" s="42" t="s">
        <v>35</v>
      </c>
      <c r="N8" s="42" t="s">
        <v>35</v>
      </c>
      <c r="O8" s="43" t="s">
        <v>35</v>
      </c>
      <c r="P8" s="106" t="s">
        <v>36</v>
      </c>
      <c r="Q8" s="107"/>
    </row>
    <row r="9" spans="1:17" s="44" customFormat="1" ht="13.9" customHeight="1" x14ac:dyDescent="0.25">
      <c r="A9" s="239"/>
      <c r="B9" s="251" t="s">
        <v>37</v>
      </c>
      <c r="C9" s="253" t="s">
        <v>38</v>
      </c>
      <c r="D9" s="242"/>
      <c r="E9" s="245"/>
      <c r="F9" s="247" t="s">
        <v>39</v>
      </c>
      <c r="G9" s="249" t="s">
        <v>40</v>
      </c>
      <c r="H9" s="249" t="s">
        <v>41</v>
      </c>
      <c r="I9" s="266" t="s">
        <v>42</v>
      </c>
      <c r="J9" s="267"/>
      <c r="K9" s="266" t="s">
        <v>43</v>
      </c>
      <c r="L9" s="267"/>
      <c r="M9" s="257" t="s">
        <v>44</v>
      </c>
      <c r="N9" s="257" t="s">
        <v>45</v>
      </c>
      <c r="O9" s="255" t="s">
        <v>46</v>
      </c>
      <c r="P9" s="235" t="s">
        <v>47</v>
      </c>
      <c r="Q9" s="108"/>
    </row>
    <row r="10" spans="1:17" s="44" customFormat="1" ht="36" x14ac:dyDescent="0.25">
      <c r="A10" s="240"/>
      <c r="B10" s="252"/>
      <c r="C10" s="254"/>
      <c r="D10" s="243"/>
      <c r="E10" s="246"/>
      <c r="F10" s="248"/>
      <c r="G10" s="250"/>
      <c r="H10" s="250"/>
      <c r="I10" s="109" t="s">
        <v>48</v>
      </c>
      <c r="J10" s="109" t="s">
        <v>49</v>
      </c>
      <c r="K10" s="109" t="s">
        <v>50</v>
      </c>
      <c r="L10" s="109" t="s">
        <v>51</v>
      </c>
      <c r="M10" s="258"/>
      <c r="N10" s="258"/>
      <c r="O10" s="256"/>
      <c r="P10" s="236"/>
      <c r="Q10" s="110"/>
    </row>
    <row r="11" spans="1:17" x14ac:dyDescent="0.2">
      <c r="A11" s="111" t="s">
        <v>52</v>
      </c>
      <c r="B11" s="112">
        <v>16.03</v>
      </c>
      <c r="C11" s="113">
        <f>B11*2080</f>
        <v>33342.400000000001</v>
      </c>
      <c r="D11" s="59">
        <f>D19*1.1</f>
        <v>31.926845238095243</v>
      </c>
      <c r="E11" s="114">
        <f>D11*40*52</f>
        <v>66407.838095238112</v>
      </c>
      <c r="F11" s="115">
        <f t="shared" ref="F11:H12" si="0">F12*1.25</f>
        <v>25.509733298740937</v>
      </c>
      <c r="G11" s="115">
        <f t="shared" si="0"/>
        <v>25.509733298740937</v>
      </c>
      <c r="H11" s="115">
        <f t="shared" si="0"/>
        <v>25.509733298740937</v>
      </c>
      <c r="I11" s="60">
        <f t="shared" ref="I11:I13" si="1">D11</f>
        <v>31.926845238095243</v>
      </c>
      <c r="J11" s="116">
        <f>I11*1.05</f>
        <v>33.523187500000006</v>
      </c>
      <c r="K11" s="60">
        <f>I11*1.1</f>
        <v>35.119529761904772</v>
      </c>
      <c r="L11" s="60">
        <f>K11*1.05</f>
        <v>36.875506250000015</v>
      </c>
      <c r="M11" s="60">
        <f>K11*1.1</f>
        <v>38.631482738095251</v>
      </c>
      <c r="N11" s="60">
        <f t="shared" ref="N11:O13" si="2">M11*1.1</f>
        <v>42.494631011904779</v>
      </c>
      <c r="O11" s="117">
        <f t="shared" si="2"/>
        <v>46.744094113095258</v>
      </c>
      <c r="P11" s="118" t="s">
        <v>53</v>
      </c>
    </row>
    <row r="12" spans="1:17" x14ac:dyDescent="0.2">
      <c r="A12" s="111" t="s">
        <v>54</v>
      </c>
      <c r="B12" s="112">
        <v>14.09</v>
      </c>
      <c r="C12" s="113">
        <f t="shared" ref="C12:C14" si="3">B12*2080</f>
        <v>29307.200000000001</v>
      </c>
      <c r="D12" s="59">
        <f>D11-(D11*0.25)</f>
        <v>23.945133928571433</v>
      </c>
      <c r="E12" s="114">
        <f t="shared" ref="E12:E13" si="4">D12*40*52</f>
        <v>49805.878571428584</v>
      </c>
      <c r="F12" s="59">
        <f t="shared" si="0"/>
        <v>20.40778663899275</v>
      </c>
      <c r="G12" s="59">
        <f t="shared" si="0"/>
        <v>20.40778663899275</v>
      </c>
      <c r="H12" s="59">
        <f t="shared" si="0"/>
        <v>20.40778663899275</v>
      </c>
      <c r="I12" s="60">
        <f t="shared" si="1"/>
        <v>23.945133928571433</v>
      </c>
      <c r="J12" s="116">
        <f t="shared" ref="J12:L13" si="5">I12*1.05</f>
        <v>25.142390625000004</v>
      </c>
      <c r="K12" s="60">
        <f>I12*1.1</f>
        <v>26.339647321428579</v>
      </c>
      <c r="L12" s="60">
        <f t="shared" si="5"/>
        <v>27.656629687500008</v>
      </c>
      <c r="M12" s="60">
        <f>K12*1.1</f>
        <v>28.97361205357144</v>
      </c>
      <c r="N12" s="60">
        <f t="shared" si="2"/>
        <v>31.870973258928586</v>
      </c>
      <c r="O12" s="117">
        <f t="shared" si="2"/>
        <v>35.058070584821451</v>
      </c>
      <c r="P12" s="119" t="s">
        <v>55</v>
      </c>
      <c r="Q12" s="120"/>
    </row>
    <row r="13" spans="1:17" x14ac:dyDescent="0.2">
      <c r="A13" s="111" t="s">
        <v>56</v>
      </c>
      <c r="B13" s="112">
        <v>12.45</v>
      </c>
      <c r="C13" s="113">
        <f t="shared" si="3"/>
        <v>25896</v>
      </c>
      <c r="D13" s="59">
        <f>D12-(D12*0.25)</f>
        <v>17.958850446428574</v>
      </c>
      <c r="E13" s="114">
        <f t="shared" si="4"/>
        <v>37354.408928571429</v>
      </c>
      <c r="F13" s="59">
        <f>F21*1.1</f>
        <v>16.326229311194201</v>
      </c>
      <c r="G13" s="59">
        <f>G21*1.1</f>
        <v>16.326229311194201</v>
      </c>
      <c r="H13" s="59">
        <f>H21*1.1</f>
        <v>16.326229311194201</v>
      </c>
      <c r="I13" s="60">
        <f t="shared" si="1"/>
        <v>17.958850446428574</v>
      </c>
      <c r="J13" s="116">
        <f t="shared" si="5"/>
        <v>18.856792968750003</v>
      </c>
      <c r="K13" s="60">
        <f>I13*1.1</f>
        <v>19.754735491071433</v>
      </c>
      <c r="L13" s="60">
        <f t="shared" si="5"/>
        <v>20.742472265625004</v>
      </c>
      <c r="M13" s="60">
        <f>K13*1.1</f>
        <v>21.730209040178579</v>
      </c>
      <c r="N13" s="60">
        <f t="shared" si="2"/>
        <v>23.90322994419644</v>
      </c>
      <c r="O13" s="117">
        <f>N13*1.1</f>
        <v>26.293552938616084</v>
      </c>
      <c r="P13" s="119" t="s">
        <v>57</v>
      </c>
      <c r="Q13" s="121"/>
    </row>
    <row r="14" spans="1:17" ht="28.5" x14ac:dyDescent="0.2">
      <c r="A14" s="111" t="s">
        <v>58</v>
      </c>
      <c r="B14" s="112">
        <v>15.04</v>
      </c>
      <c r="C14" s="113">
        <f t="shared" si="3"/>
        <v>31283.199999999997</v>
      </c>
      <c r="D14" s="59">
        <f>D12</f>
        <v>23.945133928571433</v>
      </c>
      <c r="E14" s="114">
        <f>E12</f>
        <v>49805.878571428584</v>
      </c>
      <c r="F14" s="59">
        <f t="shared" ref="F14:M14" si="6">F12</f>
        <v>20.40778663899275</v>
      </c>
      <c r="G14" s="60">
        <f t="shared" si="6"/>
        <v>20.40778663899275</v>
      </c>
      <c r="H14" s="60">
        <f t="shared" si="6"/>
        <v>20.40778663899275</v>
      </c>
      <c r="I14" s="60">
        <f t="shared" si="6"/>
        <v>23.945133928571433</v>
      </c>
      <c r="J14" s="116">
        <f t="shared" si="6"/>
        <v>25.142390625000004</v>
      </c>
      <c r="K14" s="60">
        <f t="shared" si="6"/>
        <v>26.339647321428579</v>
      </c>
      <c r="L14" s="60">
        <f t="shared" ref="L14" si="7">L12</f>
        <v>27.656629687500008</v>
      </c>
      <c r="M14" s="60">
        <f t="shared" si="6"/>
        <v>28.97361205357144</v>
      </c>
      <c r="N14" s="122" t="s">
        <v>59</v>
      </c>
      <c r="O14" s="123" t="s">
        <v>59</v>
      </c>
      <c r="P14" s="119" t="s">
        <v>60</v>
      </c>
      <c r="Q14" s="120"/>
    </row>
    <row r="15" spans="1:17" ht="15" thickBot="1" x14ac:dyDescent="0.25">
      <c r="A15" s="124"/>
      <c r="B15" s="125"/>
      <c r="C15" s="126"/>
      <c r="D15" s="127"/>
      <c r="E15" s="128"/>
      <c r="F15" s="129"/>
      <c r="G15" s="130"/>
      <c r="H15" s="130"/>
      <c r="I15" s="130"/>
      <c r="J15" s="130"/>
      <c r="K15" s="130"/>
      <c r="L15" s="130"/>
      <c r="M15" s="130"/>
      <c r="N15" s="131"/>
      <c r="O15" s="131"/>
      <c r="P15" s="132"/>
      <c r="Q15" s="120"/>
    </row>
    <row r="16" spans="1:17" ht="15.75" customHeight="1" thickBot="1" x14ac:dyDescent="0.3">
      <c r="A16" s="238" t="s">
        <v>29</v>
      </c>
      <c r="B16" s="260" t="s">
        <v>30</v>
      </c>
      <c r="C16" s="261"/>
      <c r="D16" s="241" t="s">
        <v>31</v>
      </c>
      <c r="E16" s="244" t="s">
        <v>32</v>
      </c>
      <c r="F16" s="133" t="s">
        <v>33</v>
      </c>
      <c r="G16" s="134" t="s">
        <v>33</v>
      </c>
      <c r="H16" s="134" t="s">
        <v>33</v>
      </c>
      <c r="I16" s="259" t="s">
        <v>33</v>
      </c>
      <c r="J16" s="259"/>
      <c r="K16" s="259" t="s">
        <v>34</v>
      </c>
      <c r="L16" s="259"/>
      <c r="M16" s="134" t="s">
        <v>35</v>
      </c>
      <c r="N16" s="134" t="s">
        <v>35</v>
      </c>
      <c r="O16" s="210" t="s">
        <v>35</v>
      </c>
      <c r="P16" s="106" t="s">
        <v>36</v>
      </c>
      <c r="Q16" s="107"/>
    </row>
    <row r="17" spans="1:17" s="44" customFormat="1" ht="13.9" customHeight="1" x14ac:dyDescent="0.25">
      <c r="A17" s="239"/>
      <c r="B17" s="251" t="s">
        <v>37</v>
      </c>
      <c r="C17" s="253" t="s">
        <v>38</v>
      </c>
      <c r="D17" s="242"/>
      <c r="E17" s="245"/>
      <c r="F17" s="247" t="s">
        <v>39</v>
      </c>
      <c r="G17" s="249" t="s">
        <v>40</v>
      </c>
      <c r="H17" s="249" t="s">
        <v>41</v>
      </c>
      <c r="I17" s="266" t="s">
        <v>42</v>
      </c>
      <c r="J17" s="267"/>
      <c r="K17" s="266" t="s">
        <v>43</v>
      </c>
      <c r="L17" s="267"/>
      <c r="M17" s="257" t="s">
        <v>44</v>
      </c>
      <c r="N17" s="257" t="s">
        <v>45</v>
      </c>
      <c r="O17" s="255" t="s">
        <v>46</v>
      </c>
      <c r="P17" s="235" t="s">
        <v>61</v>
      </c>
      <c r="Q17" s="135"/>
    </row>
    <row r="18" spans="1:17" s="44" customFormat="1" ht="36" x14ac:dyDescent="0.25">
      <c r="A18" s="240"/>
      <c r="B18" s="252"/>
      <c r="C18" s="254"/>
      <c r="D18" s="243"/>
      <c r="E18" s="246"/>
      <c r="F18" s="248"/>
      <c r="G18" s="250"/>
      <c r="H18" s="250"/>
      <c r="I18" s="109" t="s">
        <v>48</v>
      </c>
      <c r="J18" s="109" t="s">
        <v>49</v>
      </c>
      <c r="K18" s="109" t="s">
        <v>50</v>
      </c>
      <c r="L18" s="109" t="s">
        <v>51</v>
      </c>
      <c r="M18" s="258"/>
      <c r="N18" s="258"/>
      <c r="O18" s="256"/>
      <c r="P18" s="236"/>
      <c r="Q18" s="135"/>
    </row>
    <row r="19" spans="1:17" x14ac:dyDescent="0.2">
      <c r="A19" s="111" t="s">
        <v>62</v>
      </c>
      <c r="B19" s="112">
        <v>16.03</v>
      </c>
      <c r="C19" s="113">
        <f>B19*2080</f>
        <v>33342.400000000001</v>
      </c>
      <c r="D19" s="136">
        <f>48761/40/42</f>
        <v>29.024404761904766</v>
      </c>
      <c r="E19" s="114">
        <f>D19*40*52</f>
        <v>60370.761904761908</v>
      </c>
      <c r="F19" s="115">
        <f>F20*1.25</f>
        <v>23.190666635219031</v>
      </c>
      <c r="G19" s="115">
        <f t="shared" ref="G19:H20" si="8">G20*1.25</f>
        <v>23.190666635219031</v>
      </c>
      <c r="H19" s="115">
        <f t="shared" si="8"/>
        <v>23.190666635219031</v>
      </c>
      <c r="I19" s="60">
        <f>D19</f>
        <v>29.024404761904766</v>
      </c>
      <c r="J19" s="116">
        <f>I19*1.05</f>
        <v>30.475625000000004</v>
      </c>
      <c r="K19" s="60">
        <f>I19*1.1</f>
        <v>31.926845238095243</v>
      </c>
      <c r="L19" s="60">
        <f>K19*1.05</f>
        <v>33.523187500000006</v>
      </c>
      <c r="M19" s="60">
        <f>K19*1.1</f>
        <v>35.119529761904772</v>
      </c>
      <c r="N19" s="60">
        <f t="shared" ref="N19:O21" si="9">M19*1.1</f>
        <v>38.631482738095251</v>
      </c>
      <c r="O19" s="117">
        <f>N19*1.1</f>
        <v>42.494631011904779</v>
      </c>
      <c r="P19" s="137" t="s">
        <v>63</v>
      </c>
      <c r="Q19" s="120"/>
    </row>
    <row r="20" spans="1:17" x14ac:dyDescent="0.2">
      <c r="A20" s="111" t="s">
        <v>64</v>
      </c>
      <c r="B20" s="112">
        <v>14.09</v>
      </c>
      <c r="C20" s="113">
        <f t="shared" ref="C20:C22" si="10">B20*2080</f>
        <v>29307.200000000001</v>
      </c>
      <c r="D20" s="59">
        <f>D19-(D19*0.25)</f>
        <v>21.768303571428575</v>
      </c>
      <c r="E20" s="114">
        <f>D20*40*52</f>
        <v>45278.071428571435</v>
      </c>
      <c r="F20" s="59">
        <f>F21*1.25</f>
        <v>18.552533308175224</v>
      </c>
      <c r="G20" s="59">
        <f t="shared" si="8"/>
        <v>18.552533308175224</v>
      </c>
      <c r="H20" s="59">
        <f t="shared" si="8"/>
        <v>18.552533308175224</v>
      </c>
      <c r="I20" s="60">
        <f>D20</f>
        <v>21.768303571428575</v>
      </c>
      <c r="J20" s="116">
        <f t="shared" ref="J20:J21" si="11">I20*1.05</f>
        <v>22.856718750000006</v>
      </c>
      <c r="K20" s="60">
        <f>I20*1.1</f>
        <v>23.945133928571433</v>
      </c>
      <c r="L20" s="60">
        <f t="shared" ref="L20:L21" si="12">K20*1.05</f>
        <v>25.142390625000004</v>
      </c>
      <c r="M20" s="60">
        <f t="shared" ref="M20:M21" si="13">K20*1.1</f>
        <v>26.339647321428579</v>
      </c>
      <c r="N20" s="60">
        <f t="shared" si="9"/>
        <v>28.97361205357144</v>
      </c>
      <c r="O20" s="117">
        <f t="shared" si="9"/>
        <v>31.870973258928586</v>
      </c>
      <c r="P20" s="119" t="s">
        <v>55</v>
      </c>
      <c r="Q20" s="120"/>
    </row>
    <row r="21" spans="1:17" x14ac:dyDescent="0.2">
      <c r="A21" s="111" t="s">
        <v>65</v>
      </c>
      <c r="B21" s="112">
        <v>12.45</v>
      </c>
      <c r="C21" s="113">
        <f t="shared" si="10"/>
        <v>25896</v>
      </c>
      <c r="D21" s="59">
        <f>D20-(D20*0.25)</f>
        <v>16.326227678571431</v>
      </c>
      <c r="E21" s="114">
        <f>D21*40*52</f>
        <v>33958.553571428572</v>
      </c>
      <c r="F21" s="59">
        <f>H21</f>
        <v>14.84202664654018</v>
      </c>
      <c r="G21" s="60">
        <f>H21</f>
        <v>14.84202664654018</v>
      </c>
      <c r="H21" s="60">
        <f>0.909091*I21</f>
        <v>14.84202664654018</v>
      </c>
      <c r="I21" s="60">
        <f>D21</f>
        <v>16.326227678571431</v>
      </c>
      <c r="J21" s="116">
        <f t="shared" si="11"/>
        <v>17.142539062500003</v>
      </c>
      <c r="K21" s="60">
        <f>I21*1.1</f>
        <v>17.958850446428578</v>
      </c>
      <c r="L21" s="60">
        <f t="shared" si="12"/>
        <v>18.856792968750007</v>
      </c>
      <c r="M21" s="60">
        <f t="shared" si="13"/>
        <v>19.754735491071436</v>
      </c>
      <c r="N21" s="60">
        <f t="shared" si="9"/>
        <v>21.730209040178583</v>
      </c>
      <c r="O21" s="117">
        <f t="shared" si="9"/>
        <v>23.903229944196443</v>
      </c>
      <c r="P21" s="119" t="s">
        <v>66</v>
      </c>
      <c r="Q21" s="121"/>
    </row>
    <row r="22" spans="1:17" ht="28.5" x14ac:dyDescent="0.2">
      <c r="A22" s="111" t="s">
        <v>67</v>
      </c>
      <c r="B22" s="112">
        <v>15.04</v>
      </c>
      <c r="C22" s="113">
        <f t="shared" si="10"/>
        <v>31283.199999999997</v>
      </c>
      <c r="D22" s="59">
        <f>D20</f>
        <v>21.768303571428575</v>
      </c>
      <c r="E22" s="114">
        <f t="shared" ref="E22:M22" si="14">E20</f>
        <v>45278.071428571435</v>
      </c>
      <c r="F22" s="138">
        <f t="shared" si="14"/>
        <v>18.552533308175224</v>
      </c>
      <c r="G22" s="60">
        <f t="shared" si="14"/>
        <v>18.552533308175224</v>
      </c>
      <c r="H22" s="60">
        <f t="shared" si="14"/>
        <v>18.552533308175224</v>
      </c>
      <c r="I22" s="60">
        <f t="shared" si="14"/>
        <v>21.768303571428575</v>
      </c>
      <c r="J22" s="116">
        <f t="shared" si="14"/>
        <v>22.856718750000006</v>
      </c>
      <c r="K22" s="60">
        <f t="shared" si="14"/>
        <v>23.945133928571433</v>
      </c>
      <c r="L22" s="60">
        <f t="shared" si="14"/>
        <v>25.142390625000004</v>
      </c>
      <c r="M22" s="60">
        <f t="shared" si="14"/>
        <v>26.339647321428579</v>
      </c>
      <c r="N22" s="122" t="s">
        <v>59</v>
      </c>
      <c r="O22" s="123" t="s">
        <v>59</v>
      </c>
      <c r="P22" s="119" t="s">
        <v>60</v>
      </c>
      <c r="Q22" s="120"/>
    </row>
    <row r="23" spans="1:17" x14ac:dyDescent="0.2">
      <c r="A23" s="139"/>
      <c r="E23" s="140"/>
      <c r="L23" s="46"/>
    </row>
    <row r="24" spans="1:17" x14ac:dyDescent="0.2">
      <c r="B24" s="1"/>
      <c r="C24" s="1"/>
      <c r="L24" s="46"/>
    </row>
    <row r="25" spans="1:17" x14ac:dyDescent="0.2">
      <c r="L25" s="46"/>
    </row>
    <row r="26" spans="1:17" x14ac:dyDescent="0.2">
      <c r="L26" s="46"/>
    </row>
    <row r="27" spans="1:17" x14ac:dyDescent="0.2">
      <c r="M27" s="46"/>
      <c r="N27" s="46"/>
    </row>
    <row r="28" spans="1:17" x14ac:dyDescent="0.2">
      <c r="F28" s="46"/>
      <c r="G28" s="46"/>
    </row>
    <row r="29" spans="1:17" x14ac:dyDescent="0.2">
      <c r="B29" s="83">
        <f>D19-B19</f>
        <v>12.994404761904764</v>
      </c>
      <c r="D29" s="46"/>
    </row>
    <row r="30" spans="1:17" x14ac:dyDescent="0.2">
      <c r="B30" s="83">
        <f t="shared" ref="B30:B32" si="15">D20-B20</f>
        <v>7.6783035714285752</v>
      </c>
      <c r="G30" s="46"/>
    </row>
    <row r="31" spans="1:17" x14ac:dyDescent="0.2">
      <c r="B31" s="83">
        <f t="shared" si="15"/>
        <v>3.876227678571432</v>
      </c>
      <c r="G31" s="46"/>
    </row>
    <row r="32" spans="1:17" x14ac:dyDescent="0.2">
      <c r="B32" s="83">
        <f t="shared" si="15"/>
        <v>6.7283035714285759</v>
      </c>
    </row>
  </sheetData>
  <mergeCells count="37">
    <mergeCell ref="K8:L8"/>
    <mergeCell ref="K9:L9"/>
    <mergeCell ref="K16:L16"/>
    <mergeCell ref="K17:L17"/>
    <mergeCell ref="I17:J17"/>
    <mergeCell ref="A1:P1"/>
    <mergeCell ref="A7:P7"/>
    <mergeCell ref="A8:A10"/>
    <mergeCell ref="D8:D10"/>
    <mergeCell ref="E8:E10"/>
    <mergeCell ref="F9:F10"/>
    <mergeCell ref="G9:G10"/>
    <mergeCell ref="H9:H10"/>
    <mergeCell ref="I9:J9"/>
    <mergeCell ref="M9:M10"/>
    <mergeCell ref="A4:P5"/>
    <mergeCell ref="N9:N10"/>
    <mergeCell ref="B8:C8"/>
    <mergeCell ref="B9:B10"/>
    <mergeCell ref="C9:C10"/>
    <mergeCell ref="O9:O10"/>
    <mergeCell ref="P9:P10"/>
    <mergeCell ref="I8:J8"/>
    <mergeCell ref="A16:A18"/>
    <mergeCell ref="D16:D18"/>
    <mergeCell ref="E16:E18"/>
    <mergeCell ref="F17:F18"/>
    <mergeCell ref="G17:G18"/>
    <mergeCell ref="B17:B18"/>
    <mergeCell ref="C17:C18"/>
    <mergeCell ref="P17:P18"/>
    <mergeCell ref="O17:O18"/>
    <mergeCell ref="N17:N18"/>
    <mergeCell ref="M17:M18"/>
    <mergeCell ref="H17:H18"/>
    <mergeCell ref="I16:J16"/>
    <mergeCell ref="B16:C16"/>
  </mergeCells>
  <pageMargins left="0.7" right="0.7" top="0.75" bottom="0.75" header="0.3" footer="0.3"/>
  <pageSetup scale="27" fitToHeight="0" orientation="landscape" r:id="rId1"/>
  <ignoredErrors>
    <ignoredError sqref="K11:K14 L11:L13 K19:K21 L19:L22" formula="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25ECE-A405-402F-98AE-3F4D053F2DFE}">
  <sheetPr>
    <tabColor rgb="FF5E82A3"/>
  </sheetPr>
  <dimension ref="A1:Z56"/>
  <sheetViews>
    <sheetView zoomScaleNormal="100" workbookViewId="0">
      <selection activeCell="A2" sqref="A2"/>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392</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393</v>
      </c>
      <c r="B4" s="318"/>
      <c r="C4" s="318"/>
      <c r="D4" s="318"/>
      <c r="E4" s="318"/>
      <c r="F4" s="318"/>
      <c r="G4" s="318"/>
      <c r="H4" s="318"/>
    </row>
    <row r="5" spans="1:26" ht="36" customHeight="1" x14ac:dyDescent="0.25">
      <c r="A5" s="316" t="s">
        <v>188</v>
      </c>
      <c r="B5" s="317" t="s">
        <v>189</v>
      </c>
      <c r="C5" s="317" t="s">
        <v>190</v>
      </c>
      <c r="D5" s="317" t="s">
        <v>394</v>
      </c>
      <c r="E5" s="317" t="s">
        <v>192</v>
      </c>
      <c r="F5" s="317"/>
      <c r="G5" s="317" t="s">
        <v>193</v>
      </c>
      <c r="H5" s="317"/>
      <c r="P5"/>
      <c r="R5" s="10"/>
    </row>
    <row r="6" spans="1:26" ht="15.75" thickBot="1" x14ac:dyDescent="0.3">
      <c r="A6" s="316"/>
      <c r="B6" s="317"/>
      <c r="C6" s="317"/>
      <c r="D6" s="319"/>
      <c r="E6" s="163" t="s">
        <v>194</v>
      </c>
      <c r="F6" s="163" t="s">
        <v>195</v>
      </c>
      <c r="G6" s="163" t="s">
        <v>194</v>
      </c>
      <c r="H6" s="163" t="s">
        <v>195</v>
      </c>
      <c r="P6"/>
      <c r="R6" s="10"/>
    </row>
    <row r="7" spans="1:26" ht="15.75" thickBot="1" x14ac:dyDescent="0.3">
      <c r="A7" s="198" t="s">
        <v>395</v>
      </c>
      <c r="B7" s="199">
        <v>1</v>
      </c>
      <c r="C7" s="200">
        <v>12.45</v>
      </c>
      <c r="D7" s="201" t="s">
        <v>59</v>
      </c>
      <c r="E7" s="202">
        <f t="shared" ref="E7:E12" si="0">W19-B19</f>
        <v>-14166</v>
      </c>
      <c r="F7" s="203">
        <f t="shared" ref="F7:F12" si="1">W29</f>
        <v>-0.30192459344828321</v>
      </c>
      <c r="G7" s="204">
        <f t="shared" ref="G7:G12" si="2">S38-B38</f>
        <v>4.3699999999999992</v>
      </c>
      <c r="H7" s="205">
        <f t="shared" ref="H7:H12" si="3">S48</f>
        <v>0.54084158415841577</v>
      </c>
      <c r="P7"/>
      <c r="R7" s="10"/>
    </row>
    <row r="8" spans="1:26" ht="15.75" thickTop="1" x14ac:dyDescent="0.25">
      <c r="A8" s="179" t="s">
        <v>396</v>
      </c>
      <c r="B8" s="173">
        <v>0.97</v>
      </c>
      <c r="C8" s="186">
        <v>13.69</v>
      </c>
      <c r="D8" s="188">
        <f>C8-12.45</f>
        <v>1.2400000000000002</v>
      </c>
      <c r="E8" s="175">
        <f t="shared" si="0"/>
        <v>54366</v>
      </c>
      <c r="F8" s="174">
        <f t="shared" si="1"/>
        <v>1.3590480713946453</v>
      </c>
      <c r="G8" s="177">
        <f t="shared" si="2"/>
        <v>4.8499999999999996</v>
      </c>
      <c r="H8" s="178">
        <f t="shared" si="3"/>
        <v>0.54864253393665152</v>
      </c>
      <c r="P8"/>
      <c r="R8" s="10"/>
    </row>
    <row r="9" spans="1:26" x14ac:dyDescent="0.25">
      <c r="A9" s="179" t="s">
        <v>397</v>
      </c>
      <c r="B9" s="165">
        <v>0.95</v>
      </c>
      <c r="C9" s="186">
        <v>13.69</v>
      </c>
      <c r="D9" s="188">
        <f t="shared" ref="D9:D12" si="4">C9-12.45</f>
        <v>1.2400000000000002</v>
      </c>
      <c r="E9" s="175">
        <f t="shared" si="0"/>
        <v>-223</v>
      </c>
      <c r="F9" s="174">
        <f t="shared" si="1"/>
        <v>-5.1764159702878364E-2</v>
      </c>
      <c r="G9" s="176">
        <f t="shared" si="2"/>
        <v>3.5700000000000003</v>
      </c>
      <c r="H9" s="178">
        <f t="shared" si="3"/>
        <v>0.3527667984189724</v>
      </c>
      <c r="P9"/>
      <c r="R9" s="10"/>
    </row>
    <row r="10" spans="1:26" x14ac:dyDescent="0.25">
      <c r="A10" s="179" t="s">
        <v>398</v>
      </c>
      <c r="B10" s="165">
        <v>0.95</v>
      </c>
      <c r="C10" s="186">
        <v>14.88</v>
      </c>
      <c r="D10" s="188">
        <f t="shared" si="4"/>
        <v>2.4300000000000015</v>
      </c>
      <c r="E10" s="175">
        <f t="shared" si="0"/>
        <v>-12963</v>
      </c>
      <c r="F10" s="174">
        <f t="shared" si="1"/>
        <v>-0.16554921267384393</v>
      </c>
      <c r="G10" s="176">
        <f t="shared" si="2"/>
        <v>8.43</v>
      </c>
      <c r="H10" s="178">
        <f t="shared" si="3"/>
        <v>1.3069767441860465</v>
      </c>
      <c r="P10"/>
      <c r="R10" s="10"/>
    </row>
    <row r="11" spans="1:26" x14ac:dyDescent="0.25">
      <c r="A11" s="179" t="s">
        <v>399</v>
      </c>
      <c r="B11" s="165">
        <v>0.95</v>
      </c>
      <c r="C11" s="186">
        <v>15.74</v>
      </c>
      <c r="D11" s="188">
        <f t="shared" si="4"/>
        <v>3.2900000000000009</v>
      </c>
      <c r="E11" s="175">
        <f t="shared" si="0"/>
        <v>-3494</v>
      </c>
      <c r="F11" s="174">
        <f t="shared" si="1"/>
        <v>-0.64453052942261579</v>
      </c>
      <c r="G11" s="176">
        <f t="shared" si="2"/>
        <v>4.620000000000001</v>
      </c>
      <c r="H11" s="178">
        <f t="shared" si="3"/>
        <v>0.41546762589928071</v>
      </c>
      <c r="P11"/>
      <c r="R11" s="10"/>
    </row>
    <row r="12" spans="1:26" ht="15.75" thickBot="1" x14ac:dyDescent="0.3">
      <c r="A12" s="180" t="s">
        <v>199</v>
      </c>
      <c r="B12" s="181">
        <v>0.94</v>
      </c>
      <c r="C12" s="187">
        <v>17.57</v>
      </c>
      <c r="D12" s="189">
        <f t="shared" si="4"/>
        <v>5.120000000000001</v>
      </c>
      <c r="E12" s="182">
        <f t="shared" si="0"/>
        <v>-7997</v>
      </c>
      <c r="F12" s="183">
        <f t="shared" si="1"/>
        <v>-0.41315354412068611</v>
      </c>
      <c r="G12" s="184">
        <f t="shared" si="2"/>
        <v>7.34</v>
      </c>
      <c r="H12" s="185">
        <f t="shared" si="3"/>
        <v>0.71749755620723354</v>
      </c>
      <c r="P12"/>
      <c r="R12" s="10"/>
    </row>
    <row r="13" spans="1:26" x14ac:dyDescent="0.25">
      <c r="A13" s="1"/>
      <c r="B13" s="35"/>
      <c r="C13" s="36"/>
      <c r="D13" s="36"/>
    </row>
    <row r="17" spans="1:26" ht="15.75" x14ac:dyDescent="0.25">
      <c r="A17" s="315" t="s">
        <v>400</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90" t="s">
        <v>188</v>
      </c>
      <c r="B18" s="191">
        <v>2001</v>
      </c>
      <c r="C18" s="191">
        <v>2002</v>
      </c>
      <c r="D18" s="191">
        <v>2003</v>
      </c>
      <c r="E18" s="191">
        <v>2004</v>
      </c>
      <c r="F18" s="191">
        <v>2005</v>
      </c>
      <c r="G18" s="191">
        <v>2006</v>
      </c>
      <c r="H18" s="191">
        <v>2007</v>
      </c>
      <c r="I18" s="191">
        <v>2008</v>
      </c>
      <c r="J18" s="191">
        <v>2009</v>
      </c>
      <c r="K18" s="191">
        <v>2010</v>
      </c>
      <c r="L18" s="191">
        <v>2011</v>
      </c>
      <c r="M18" s="191">
        <v>2012</v>
      </c>
      <c r="N18" s="191">
        <v>2013</v>
      </c>
      <c r="O18" s="191">
        <v>2014</v>
      </c>
      <c r="P18" s="191">
        <v>2015</v>
      </c>
      <c r="Q18" s="191">
        <v>2016</v>
      </c>
      <c r="R18" s="191">
        <v>2017</v>
      </c>
      <c r="S18" s="191">
        <v>2018</v>
      </c>
      <c r="T18" s="191">
        <v>2019</v>
      </c>
      <c r="U18" s="191">
        <v>2020</v>
      </c>
      <c r="V18" s="191">
        <v>2021</v>
      </c>
      <c r="W18" s="191">
        <v>2022</v>
      </c>
    </row>
    <row r="19" spans="1:26" ht="15.75" thickBot="1" x14ac:dyDescent="0.3">
      <c r="A19" s="166" t="s">
        <v>395</v>
      </c>
      <c r="B19" s="167">
        <v>46919</v>
      </c>
      <c r="C19" s="167">
        <v>48222</v>
      </c>
      <c r="D19" s="167">
        <v>48204</v>
      </c>
      <c r="E19" s="167">
        <v>48754</v>
      </c>
      <c r="F19" s="167">
        <v>49349</v>
      </c>
      <c r="G19" s="167">
        <v>48856</v>
      </c>
      <c r="H19" s="167">
        <v>47724</v>
      </c>
      <c r="I19" s="167">
        <v>45288</v>
      </c>
      <c r="J19" s="167">
        <v>44189</v>
      </c>
      <c r="K19" s="167">
        <v>40683</v>
      </c>
      <c r="L19" s="167">
        <v>41397</v>
      </c>
      <c r="M19" s="167">
        <v>40562</v>
      </c>
      <c r="N19" s="167">
        <v>39070</v>
      </c>
      <c r="O19" s="167">
        <v>38872</v>
      </c>
      <c r="P19" s="167">
        <v>37697</v>
      </c>
      <c r="Q19" s="167">
        <v>36365</v>
      </c>
      <c r="R19" s="167">
        <v>35038</v>
      </c>
      <c r="S19" s="167">
        <v>36687</v>
      </c>
      <c r="T19" s="167">
        <v>36383</v>
      </c>
      <c r="U19" s="167">
        <v>33323</v>
      </c>
      <c r="V19" s="167">
        <v>31504</v>
      </c>
      <c r="W19" s="167">
        <v>32753</v>
      </c>
    </row>
    <row r="20" spans="1:26" ht="15.75" thickTop="1" x14ac:dyDescent="0.25">
      <c r="A20" s="143" t="s">
        <v>396</v>
      </c>
      <c r="B20" s="144">
        <v>40003</v>
      </c>
      <c r="C20" s="144">
        <v>43702</v>
      </c>
      <c r="D20" s="144">
        <v>47256</v>
      </c>
      <c r="E20" s="144">
        <v>49585</v>
      </c>
      <c r="F20" s="144">
        <v>51984</v>
      </c>
      <c r="G20" s="144">
        <v>54787</v>
      </c>
      <c r="H20" s="144">
        <v>58746</v>
      </c>
      <c r="I20" s="144">
        <v>58657</v>
      </c>
      <c r="J20" s="144">
        <v>59080</v>
      </c>
      <c r="K20" s="144">
        <v>59341</v>
      </c>
      <c r="L20" s="144">
        <v>61817</v>
      </c>
      <c r="M20" s="144">
        <v>64563</v>
      </c>
      <c r="N20" s="144">
        <v>75754</v>
      </c>
      <c r="O20" s="144">
        <v>78331</v>
      </c>
      <c r="P20" s="144">
        <v>78817</v>
      </c>
      <c r="Q20" s="144">
        <v>77536</v>
      </c>
      <c r="R20" s="144">
        <v>76146</v>
      </c>
      <c r="S20" s="144">
        <v>79923</v>
      </c>
      <c r="T20" s="144">
        <v>83877</v>
      </c>
      <c r="U20" s="144">
        <v>85065</v>
      </c>
      <c r="V20" s="144">
        <v>91470</v>
      </c>
      <c r="W20" s="144">
        <v>94369</v>
      </c>
    </row>
    <row r="21" spans="1:26" x14ac:dyDescent="0.25">
      <c r="A21" s="143" t="s">
        <v>397</v>
      </c>
      <c r="B21" s="144">
        <v>4308</v>
      </c>
      <c r="C21" s="144">
        <v>4309</v>
      </c>
      <c r="D21" s="144">
        <v>4230</v>
      </c>
      <c r="E21" s="144">
        <v>4170</v>
      </c>
      <c r="F21" s="144">
        <v>4100</v>
      </c>
      <c r="G21" s="144">
        <v>4223</v>
      </c>
      <c r="H21" s="144">
        <v>4437</v>
      </c>
      <c r="I21" s="144">
        <v>4632</v>
      </c>
      <c r="J21" s="144">
        <v>4569</v>
      </c>
      <c r="K21" s="144">
        <v>4472</v>
      </c>
      <c r="L21" s="144">
        <v>4609</v>
      </c>
      <c r="M21" s="144">
        <v>4503</v>
      </c>
      <c r="N21" s="144">
        <v>4450</v>
      </c>
      <c r="O21" s="144">
        <v>4455</v>
      </c>
      <c r="P21" s="144">
        <v>4504</v>
      </c>
      <c r="Q21" s="144">
        <v>4510</v>
      </c>
      <c r="R21" s="144">
        <v>4353</v>
      </c>
      <c r="S21" s="144">
        <v>4183</v>
      </c>
      <c r="T21" s="144">
        <v>4066</v>
      </c>
      <c r="U21" s="144">
        <v>3948</v>
      </c>
      <c r="V21" s="144">
        <v>3943</v>
      </c>
      <c r="W21" s="144">
        <v>4085</v>
      </c>
    </row>
    <row r="22" spans="1:26" x14ac:dyDescent="0.25">
      <c r="A22" s="143" t="s">
        <v>398</v>
      </c>
      <c r="B22" s="144">
        <v>78303</v>
      </c>
      <c r="C22" s="144">
        <v>78583</v>
      </c>
      <c r="D22" s="144">
        <v>78063</v>
      </c>
      <c r="E22" s="144">
        <v>78386</v>
      </c>
      <c r="F22" s="144">
        <v>77929</v>
      </c>
      <c r="G22" s="144">
        <v>77663</v>
      </c>
      <c r="H22" s="144">
        <v>77332</v>
      </c>
      <c r="I22" s="144">
        <v>74986</v>
      </c>
      <c r="J22" s="144">
        <v>68868</v>
      </c>
      <c r="K22" s="144">
        <v>65884</v>
      </c>
      <c r="L22" s="144">
        <v>67588</v>
      </c>
      <c r="M22" s="144">
        <v>69165</v>
      </c>
      <c r="N22" s="144">
        <v>71501</v>
      </c>
      <c r="O22" s="144">
        <v>72786</v>
      </c>
      <c r="P22" s="144">
        <v>75307</v>
      </c>
      <c r="Q22" s="144">
        <v>77404</v>
      </c>
      <c r="R22" s="144">
        <v>78022</v>
      </c>
      <c r="S22" s="144">
        <v>77225</v>
      </c>
      <c r="T22" s="144">
        <v>77537</v>
      </c>
      <c r="U22" s="144">
        <v>54962</v>
      </c>
      <c r="V22" s="144">
        <v>55198</v>
      </c>
      <c r="W22" s="144">
        <v>65340</v>
      </c>
    </row>
    <row r="23" spans="1:26" x14ac:dyDescent="0.25">
      <c r="A23" s="143" t="s">
        <v>399</v>
      </c>
      <c r="B23" s="146">
        <v>5421</v>
      </c>
      <c r="C23" s="146">
        <v>5352</v>
      </c>
      <c r="D23" s="146">
        <v>5154</v>
      </c>
      <c r="E23" s="146">
        <v>5040</v>
      </c>
      <c r="F23" s="146">
        <v>4888</v>
      </c>
      <c r="G23" s="146">
        <v>4201</v>
      </c>
      <c r="H23" s="146">
        <v>4028</v>
      </c>
      <c r="I23" s="146">
        <v>3999</v>
      </c>
      <c r="J23" s="146">
        <v>3865</v>
      </c>
      <c r="K23" s="146">
        <v>3921</v>
      </c>
      <c r="L23" s="146">
        <v>3964</v>
      </c>
      <c r="M23" s="146">
        <v>3839</v>
      </c>
      <c r="N23" s="146">
        <v>3774</v>
      </c>
      <c r="O23" s="146">
        <v>3783</v>
      </c>
      <c r="P23" s="146">
        <v>3854</v>
      </c>
      <c r="Q23" s="146">
        <v>3930</v>
      </c>
      <c r="R23" s="146">
        <v>3820</v>
      </c>
      <c r="S23" s="146">
        <v>3718</v>
      </c>
      <c r="T23" s="146">
        <v>3290</v>
      </c>
      <c r="U23" s="146">
        <v>2722</v>
      </c>
      <c r="V23" s="146">
        <v>2093</v>
      </c>
      <c r="W23" s="146">
        <v>1927</v>
      </c>
    </row>
    <row r="24" spans="1:26" x14ac:dyDescent="0.25">
      <c r="A24" s="143" t="s">
        <v>199</v>
      </c>
      <c r="B24" s="146">
        <v>19356</v>
      </c>
      <c r="C24" s="146">
        <v>19515</v>
      </c>
      <c r="D24" s="146">
        <v>19509</v>
      </c>
      <c r="E24" s="146">
        <v>19291</v>
      </c>
      <c r="F24" s="146">
        <v>19176</v>
      </c>
      <c r="G24" s="146">
        <v>18857</v>
      </c>
      <c r="H24" s="146">
        <v>18652</v>
      </c>
      <c r="I24" s="146">
        <v>17756</v>
      </c>
      <c r="J24" s="146">
        <v>16663</v>
      </c>
      <c r="K24" s="146">
        <v>16173</v>
      </c>
      <c r="L24" s="146">
        <v>16399</v>
      </c>
      <c r="M24" s="146">
        <v>16676</v>
      </c>
      <c r="N24" s="146">
        <v>16754</v>
      </c>
      <c r="O24" s="146">
        <v>16737</v>
      </c>
      <c r="P24" s="146">
        <v>16613</v>
      </c>
      <c r="Q24" s="146">
        <v>16736</v>
      </c>
      <c r="R24" s="146">
        <v>16896</v>
      </c>
      <c r="S24" s="146">
        <v>15535</v>
      </c>
      <c r="T24" s="146">
        <v>14712</v>
      </c>
      <c r="U24" s="146">
        <v>13606</v>
      </c>
      <c r="V24" s="146">
        <v>11820</v>
      </c>
      <c r="W24" s="146">
        <v>11359</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401</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90" t="s">
        <v>188</v>
      </c>
      <c r="B28" s="191">
        <v>2001</v>
      </c>
      <c r="C28" s="191">
        <v>2002</v>
      </c>
      <c r="D28" s="191">
        <v>2003</v>
      </c>
      <c r="E28" s="191">
        <v>2004</v>
      </c>
      <c r="F28" s="191">
        <v>2005</v>
      </c>
      <c r="G28" s="191">
        <v>2006</v>
      </c>
      <c r="H28" s="191">
        <v>2007</v>
      </c>
      <c r="I28" s="191">
        <v>2008</v>
      </c>
      <c r="J28" s="191">
        <v>2009</v>
      </c>
      <c r="K28" s="191">
        <v>2010</v>
      </c>
      <c r="L28" s="191">
        <v>2011</v>
      </c>
      <c r="M28" s="191">
        <v>2012</v>
      </c>
      <c r="N28" s="191">
        <v>2013</v>
      </c>
      <c r="O28" s="191">
        <v>2014</v>
      </c>
      <c r="P28" s="191">
        <v>2015</v>
      </c>
      <c r="Q28" s="191">
        <v>2016</v>
      </c>
      <c r="R28" s="191">
        <v>2017</v>
      </c>
      <c r="S28" s="191">
        <v>2018</v>
      </c>
      <c r="T28" s="191">
        <v>2019</v>
      </c>
      <c r="U28" s="191">
        <v>2020</v>
      </c>
      <c r="V28" s="191">
        <v>2021</v>
      </c>
      <c r="W28" s="191">
        <v>2022</v>
      </c>
    </row>
    <row r="29" spans="1:26" ht="15.75" thickBot="1" x14ac:dyDescent="0.3">
      <c r="A29" s="166" t="s">
        <v>395</v>
      </c>
      <c r="B29" s="168">
        <f t="shared" ref="B29:B34" si="5">(B19-B19)/B19</f>
        <v>0</v>
      </c>
      <c r="C29" s="168">
        <f t="shared" ref="C29:C34" si="6">(C19-B19)/B19</f>
        <v>2.7771265372237262E-2</v>
      </c>
      <c r="D29" s="168">
        <f t="shared" ref="D29:D34" si="7">(D19-B19)/B19</f>
        <v>2.7387625482214028E-2</v>
      </c>
      <c r="E29" s="168">
        <f t="shared" ref="E29:E34" si="8">(E19-B19)/B19</f>
        <v>3.9109955455146103E-2</v>
      </c>
      <c r="F29" s="168">
        <f t="shared" ref="F29:F34" si="9">(F19-B19)/B19</f>
        <v>5.1791385153136256E-2</v>
      </c>
      <c r="G29" s="168">
        <f t="shared" ref="G29:G34" si="10">(G19-B19)/B19</f>
        <v>4.1283914831944414E-2</v>
      </c>
      <c r="H29" s="168">
        <f t="shared" ref="H29:H34" si="11">(H19-B19)/B19</f>
        <v>1.7157228414927856E-2</v>
      </c>
      <c r="I29" s="168">
        <f t="shared" ref="I29:I34" si="12">(I19-B19)/B19</f>
        <v>-3.4762036701549481E-2</v>
      </c>
      <c r="J29" s="168">
        <f t="shared" ref="J29:J34" si="13">(J19-B19)/B19</f>
        <v>-5.8185383320190118E-2</v>
      </c>
      <c r="K29" s="168">
        <f t="shared" ref="K29:K34" si="14">(K19-B19)/B19</f>
        <v>-0.13290990856582621</v>
      </c>
      <c r="L29" s="168">
        <f t="shared" ref="L29:L34" si="15">(L19-B19)/B19</f>
        <v>-0.11769219292823803</v>
      </c>
      <c r="M29" s="168">
        <f t="shared" ref="M29:M34" si="16">(M19-B19)/B19</f>
        <v>-0.13548882115987126</v>
      </c>
      <c r="N29" s="168">
        <f t="shared" ref="N29:N34" si="17">(N19-B19)/B19</f>
        <v>-0.16728830537735245</v>
      </c>
      <c r="O29" s="168">
        <f t="shared" ref="O29:O34" si="18">(O19-B19)/B19</f>
        <v>-0.17150834416760802</v>
      </c>
      <c r="P29" s="168">
        <f t="shared" ref="P29:P34" si="19">(P19-B19)/B19</f>
        <v>-0.19655150365523563</v>
      </c>
      <c r="Q29" s="168">
        <f t="shared" ref="Q29:Q34" si="20">(Q19-B19)/B19</f>
        <v>-0.22494085551695475</v>
      </c>
      <c r="R29" s="168">
        <f t="shared" ref="R29:R34" si="21">(R19-B19)/B19</f>
        <v>-0.25322364074255632</v>
      </c>
      <c r="S29" s="168">
        <f t="shared" ref="S29:S34" si="22">(S19-B19)/B19</f>
        <v>-0.2180779641509836</v>
      </c>
      <c r="T29" s="168">
        <f t="shared" ref="T29:T34" si="23">(T19-B19)/B19</f>
        <v>-0.22455721562693151</v>
      </c>
      <c r="U29" s="168">
        <f t="shared" ref="U29:U34" si="24">(U19-B19)/B19</f>
        <v>-0.28977599693088085</v>
      </c>
      <c r="V29" s="168">
        <f t="shared" ref="V29:V34" si="25">(V19-B19)/B19</f>
        <v>-0.3285449391504508</v>
      </c>
      <c r="W29" s="168">
        <f t="shared" ref="W29:W34" si="26">(W19-B19)/B19</f>
        <v>-0.30192459344828321</v>
      </c>
      <c r="Y29" t="s">
        <v>397</v>
      </c>
      <c r="Z29" s="218">
        <v>3.5700000000000003</v>
      </c>
    </row>
    <row r="30" spans="1:26" ht="15.75" thickTop="1" x14ac:dyDescent="0.25">
      <c r="A30" s="143" t="s">
        <v>396</v>
      </c>
      <c r="B30" s="147">
        <f t="shared" si="5"/>
        <v>0</v>
      </c>
      <c r="C30" s="147">
        <f t="shared" si="6"/>
        <v>9.2468064895132859E-2</v>
      </c>
      <c r="D30" s="147">
        <f t="shared" si="7"/>
        <v>0.18131140164487664</v>
      </c>
      <c r="E30" s="147">
        <f t="shared" si="8"/>
        <v>0.2395320350973677</v>
      </c>
      <c r="F30" s="147">
        <f t="shared" si="9"/>
        <v>0.29950253730970178</v>
      </c>
      <c r="G30" s="147">
        <f t="shared" si="10"/>
        <v>0.36957228207884407</v>
      </c>
      <c r="H30" s="147">
        <f t="shared" si="11"/>
        <v>0.46853985951053673</v>
      </c>
      <c r="I30" s="147">
        <f t="shared" si="12"/>
        <v>0.46631502637302202</v>
      </c>
      <c r="J30" s="147">
        <f t="shared" si="13"/>
        <v>0.47688923330750194</v>
      </c>
      <c r="K30" s="147">
        <f t="shared" si="14"/>
        <v>0.48341374396920234</v>
      </c>
      <c r="L30" s="147">
        <f t="shared" si="15"/>
        <v>0.5453091018173637</v>
      </c>
      <c r="M30" s="147">
        <f t="shared" si="16"/>
        <v>0.61395395345349102</v>
      </c>
      <c r="N30" s="147">
        <f t="shared" si="17"/>
        <v>0.89370797190210738</v>
      </c>
      <c r="O30" s="147">
        <f t="shared" si="18"/>
        <v>0.95812814038947081</v>
      </c>
      <c r="P30" s="147">
        <f t="shared" si="19"/>
        <v>0.97027722920780946</v>
      </c>
      <c r="Q30" s="147">
        <f t="shared" si="20"/>
        <v>0.93825463090268235</v>
      </c>
      <c r="R30" s="147">
        <f t="shared" si="21"/>
        <v>0.90350723695722823</v>
      </c>
      <c r="S30" s="147">
        <f t="shared" si="22"/>
        <v>0.99792515561332895</v>
      </c>
      <c r="T30" s="147">
        <f t="shared" si="23"/>
        <v>1.0967677424193185</v>
      </c>
      <c r="U30" s="147">
        <f t="shared" si="24"/>
        <v>1.1264655150863685</v>
      </c>
      <c r="V30" s="147">
        <f t="shared" si="25"/>
        <v>1.2865785066120041</v>
      </c>
      <c r="W30" s="147">
        <f t="shared" si="26"/>
        <v>1.3590480713946453</v>
      </c>
      <c r="Y30" t="s">
        <v>395</v>
      </c>
      <c r="Z30" s="218">
        <v>4.3699999999999992</v>
      </c>
    </row>
    <row r="31" spans="1:26" x14ac:dyDescent="0.25">
      <c r="A31" s="143" t="s">
        <v>397</v>
      </c>
      <c r="B31" s="147">
        <f t="shared" si="5"/>
        <v>0</v>
      </c>
      <c r="C31" s="147">
        <f t="shared" si="6"/>
        <v>2.3212627669452182E-4</v>
      </c>
      <c r="D31" s="147">
        <f t="shared" si="7"/>
        <v>-1.8105849582172703E-2</v>
      </c>
      <c r="E31" s="147">
        <f t="shared" si="8"/>
        <v>-3.2033426183844013E-2</v>
      </c>
      <c r="F31" s="147">
        <f t="shared" si="9"/>
        <v>-4.828226555246054E-2</v>
      </c>
      <c r="G31" s="147">
        <f t="shared" si="10"/>
        <v>-1.9730733519034354E-2</v>
      </c>
      <c r="H31" s="147">
        <f t="shared" si="11"/>
        <v>2.9944289693593314E-2</v>
      </c>
      <c r="I31" s="147">
        <f t="shared" si="12"/>
        <v>7.5208913649025072E-2</v>
      </c>
      <c r="J31" s="147">
        <f t="shared" si="13"/>
        <v>6.0584958217270196E-2</v>
      </c>
      <c r="K31" s="147">
        <f t="shared" si="14"/>
        <v>3.8068709377901577E-2</v>
      </c>
      <c r="L31" s="147">
        <f t="shared" si="15"/>
        <v>6.9870009285051063E-2</v>
      </c>
      <c r="M31" s="147">
        <f t="shared" si="16"/>
        <v>4.5264623955431751E-2</v>
      </c>
      <c r="N31" s="147">
        <f t="shared" si="17"/>
        <v>3.2961931290622096E-2</v>
      </c>
      <c r="O31" s="147">
        <f t="shared" si="18"/>
        <v>3.4122562674094706E-2</v>
      </c>
      <c r="P31" s="147">
        <f t="shared" si="19"/>
        <v>4.5496750232126279E-2</v>
      </c>
      <c r="Q31" s="147">
        <f t="shared" si="20"/>
        <v>4.688950789229341E-2</v>
      </c>
      <c r="R31" s="147">
        <f t="shared" si="21"/>
        <v>1.0445682451253482E-2</v>
      </c>
      <c r="S31" s="147">
        <f t="shared" si="22"/>
        <v>-2.9015784586815228E-2</v>
      </c>
      <c r="T31" s="147">
        <f t="shared" si="23"/>
        <v>-5.6174558960074283E-2</v>
      </c>
      <c r="U31" s="147">
        <f t="shared" si="24"/>
        <v>-8.3565459610027856E-2</v>
      </c>
      <c r="V31" s="147">
        <f t="shared" si="25"/>
        <v>-8.4726090993500466E-2</v>
      </c>
      <c r="W31" s="147">
        <f t="shared" si="26"/>
        <v>-5.1764159702878364E-2</v>
      </c>
      <c r="Y31" t="s">
        <v>399</v>
      </c>
      <c r="Z31" s="218">
        <v>4.620000000000001</v>
      </c>
    </row>
    <row r="32" spans="1:26" x14ac:dyDescent="0.25">
      <c r="A32" s="143" t="s">
        <v>398</v>
      </c>
      <c r="B32" s="147">
        <f t="shared" si="5"/>
        <v>0</v>
      </c>
      <c r="C32" s="147">
        <f t="shared" si="6"/>
        <v>3.5758527770328083E-3</v>
      </c>
      <c r="D32" s="147">
        <f t="shared" si="7"/>
        <v>-3.0650166660281214E-3</v>
      </c>
      <c r="E32" s="147">
        <f t="shared" si="8"/>
        <v>1.0599849303347254E-3</v>
      </c>
      <c r="F32" s="147">
        <f t="shared" si="9"/>
        <v>-4.7763176378938224E-3</v>
      </c>
      <c r="G32" s="147">
        <f t="shared" si="10"/>
        <v>-8.1733777760749915E-3</v>
      </c>
      <c r="H32" s="147">
        <f t="shared" si="11"/>
        <v>-1.2400546594638776E-2</v>
      </c>
      <c r="I32" s="147">
        <f t="shared" si="12"/>
        <v>-4.2361084505063665E-2</v>
      </c>
      <c r="J32" s="147">
        <f t="shared" si="13"/>
        <v>-0.12049346768323052</v>
      </c>
      <c r="K32" s="147">
        <f t="shared" si="14"/>
        <v>-0.15860184156418017</v>
      </c>
      <c r="L32" s="147">
        <f t="shared" si="15"/>
        <v>-0.1368402232353805</v>
      </c>
      <c r="M32" s="147">
        <f t="shared" si="16"/>
        <v>-0.11670050955902073</v>
      </c>
      <c r="N32" s="147">
        <f t="shared" si="17"/>
        <v>-8.6867680676347009E-2</v>
      </c>
      <c r="O32" s="147">
        <f t="shared" si="18"/>
        <v>-7.0457070610321443E-2</v>
      </c>
      <c r="P32" s="147">
        <f t="shared" si="19"/>
        <v>-3.8261624714251048E-2</v>
      </c>
      <c r="Q32" s="147">
        <f t="shared" si="20"/>
        <v>-1.1481041594830339E-2</v>
      </c>
      <c r="R32" s="147">
        <f t="shared" si="21"/>
        <v>-3.5886236798079257E-3</v>
      </c>
      <c r="S32" s="147">
        <f t="shared" si="22"/>
        <v>-1.3767033191576312E-2</v>
      </c>
      <c r="T32" s="147">
        <f t="shared" si="23"/>
        <v>-9.7825115257397545E-3</v>
      </c>
      <c r="U32" s="147">
        <f t="shared" si="24"/>
        <v>-0.29808564167400992</v>
      </c>
      <c r="V32" s="147">
        <f t="shared" si="25"/>
        <v>-0.29507170861908227</v>
      </c>
      <c r="W32" s="147">
        <f t="shared" si="26"/>
        <v>-0.16554921267384393</v>
      </c>
      <c r="Y32" t="s">
        <v>396</v>
      </c>
      <c r="Z32" s="218">
        <v>4.8499999999999996</v>
      </c>
    </row>
    <row r="33" spans="1:26" x14ac:dyDescent="0.25">
      <c r="A33" s="143" t="s">
        <v>399</v>
      </c>
      <c r="B33" s="147">
        <f t="shared" si="5"/>
        <v>0</v>
      </c>
      <c r="C33" s="147">
        <f t="shared" si="6"/>
        <v>-1.2728278915329275E-2</v>
      </c>
      <c r="D33" s="147">
        <f t="shared" si="7"/>
        <v>-4.9252905368013279E-2</v>
      </c>
      <c r="E33" s="147">
        <f t="shared" si="8"/>
        <v>-7.0282235749861643E-2</v>
      </c>
      <c r="F33" s="147">
        <f t="shared" si="9"/>
        <v>-9.8321342925659472E-2</v>
      </c>
      <c r="G33" s="147">
        <f t="shared" si="10"/>
        <v>-0.22505072864785094</v>
      </c>
      <c r="H33" s="147">
        <f t="shared" si="11"/>
        <v>-0.25696365984135766</v>
      </c>
      <c r="I33" s="147">
        <f t="shared" si="12"/>
        <v>-0.26231322634200332</v>
      </c>
      <c r="J33" s="147">
        <f t="shared" si="13"/>
        <v>-0.28703191293119351</v>
      </c>
      <c r="K33" s="147">
        <f t="shared" si="14"/>
        <v>-0.27670171555063644</v>
      </c>
      <c r="L33" s="147">
        <f t="shared" si="15"/>
        <v>-0.26876959970485148</v>
      </c>
      <c r="M33" s="147">
        <f t="shared" si="16"/>
        <v>-0.29182807600073785</v>
      </c>
      <c r="N33" s="147">
        <f t="shared" si="17"/>
        <v>-0.30381848367459879</v>
      </c>
      <c r="O33" s="147">
        <f t="shared" si="18"/>
        <v>-0.30215827338129497</v>
      </c>
      <c r="P33" s="147">
        <f t="shared" si="19"/>
        <v>-0.28906105884523153</v>
      </c>
      <c r="Q33" s="147">
        <f t="shared" si="20"/>
        <v>-0.27504150525733262</v>
      </c>
      <c r="R33" s="147">
        <f t="shared" si="21"/>
        <v>-0.29533296439771262</v>
      </c>
      <c r="S33" s="147">
        <f t="shared" si="22"/>
        <v>-0.31414868105515587</v>
      </c>
      <c r="T33" s="147">
        <f t="shared" si="23"/>
        <v>-0.39310090389227081</v>
      </c>
      <c r="U33" s="147">
        <f t="shared" si="24"/>
        <v>-0.49787862018077844</v>
      </c>
      <c r="V33" s="147">
        <f t="shared" si="25"/>
        <v>-0.61390887290167862</v>
      </c>
      <c r="W33" s="147">
        <f t="shared" si="26"/>
        <v>-0.64453052942261579</v>
      </c>
      <c r="Y33" t="s">
        <v>199</v>
      </c>
      <c r="Z33" s="218">
        <v>7.34</v>
      </c>
    </row>
    <row r="34" spans="1:26" x14ac:dyDescent="0.25">
      <c r="A34" s="143" t="s">
        <v>199</v>
      </c>
      <c r="B34" s="147">
        <f t="shared" si="5"/>
        <v>0</v>
      </c>
      <c r="C34" s="147">
        <f t="shared" si="6"/>
        <v>8.2145071295722256E-3</v>
      </c>
      <c r="D34" s="147">
        <f t="shared" si="7"/>
        <v>7.9045257284562926E-3</v>
      </c>
      <c r="E34" s="147">
        <f t="shared" si="8"/>
        <v>-3.3581318454226081E-3</v>
      </c>
      <c r="F34" s="147">
        <f t="shared" si="9"/>
        <v>-9.299442033477991E-3</v>
      </c>
      <c r="G34" s="147">
        <f t="shared" si="10"/>
        <v>-2.5780119859475099E-2</v>
      </c>
      <c r="H34" s="147">
        <f t="shared" si="11"/>
        <v>-3.6371151064269476E-2</v>
      </c>
      <c r="I34" s="147">
        <f t="shared" si="12"/>
        <v>-8.2661706964248807E-2</v>
      </c>
      <c r="J34" s="147">
        <f t="shared" si="13"/>
        <v>-0.13912998553420128</v>
      </c>
      <c r="K34" s="147">
        <f t="shared" si="14"/>
        <v>-0.16444513329200247</v>
      </c>
      <c r="L34" s="147">
        <f t="shared" si="15"/>
        <v>-0.15276916718330233</v>
      </c>
      <c r="M34" s="147">
        <f t="shared" si="16"/>
        <v>-0.13845835916511676</v>
      </c>
      <c r="N34" s="147">
        <f t="shared" si="17"/>
        <v>-0.13442860095060963</v>
      </c>
      <c r="O34" s="147">
        <f t="shared" si="18"/>
        <v>-0.13530688158710477</v>
      </c>
      <c r="P34" s="147">
        <f t="shared" si="19"/>
        <v>-0.14171316387683405</v>
      </c>
      <c r="Q34" s="147">
        <f t="shared" si="20"/>
        <v>-0.13535854515395743</v>
      </c>
      <c r="R34" s="147">
        <f t="shared" si="21"/>
        <v>-0.12709237445753255</v>
      </c>
      <c r="S34" s="147">
        <f t="shared" si="22"/>
        <v>-0.19740648894399671</v>
      </c>
      <c r="T34" s="147">
        <f t="shared" si="23"/>
        <v>-0.23992560446373218</v>
      </c>
      <c r="U34" s="147">
        <f t="shared" si="24"/>
        <v>-0.29706550940276916</v>
      </c>
      <c r="V34" s="147">
        <f t="shared" si="25"/>
        <v>-0.38933663980161193</v>
      </c>
      <c r="W34" s="147">
        <f t="shared" si="26"/>
        <v>-0.41315354412068611</v>
      </c>
      <c r="Y34" t="s">
        <v>398</v>
      </c>
      <c r="Z34" s="218">
        <v>8.43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402</v>
      </c>
      <c r="B36" s="315"/>
      <c r="C36" s="315"/>
      <c r="D36" s="315"/>
      <c r="E36" s="315"/>
      <c r="F36" s="315"/>
      <c r="G36" s="315"/>
      <c r="H36" s="315"/>
      <c r="I36" s="315"/>
      <c r="J36" s="315"/>
      <c r="K36" s="315"/>
      <c r="L36" s="315"/>
      <c r="M36" s="315"/>
      <c r="N36" s="315"/>
      <c r="O36" s="315"/>
      <c r="P36" s="315"/>
      <c r="Q36" s="315"/>
      <c r="R36" s="315"/>
      <c r="S36" s="315"/>
    </row>
    <row r="37" spans="1:26" x14ac:dyDescent="0.25">
      <c r="A37" s="190" t="s">
        <v>188</v>
      </c>
      <c r="B37" s="191">
        <v>2005</v>
      </c>
      <c r="C37" s="191">
        <v>2006</v>
      </c>
      <c r="D37" s="191">
        <v>2007</v>
      </c>
      <c r="E37" s="191">
        <v>2008</v>
      </c>
      <c r="F37" s="191">
        <v>2009</v>
      </c>
      <c r="G37" s="191">
        <v>2010</v>
      </c>
      <c r="H37" s="191">
        <v>2011</v>
      </c>
      <c r="I37" s="191">
        <v>2012</v>
      </c>
      <c r="J37" s="191">
        <v>2013</v>
      </c>
      <c r="K37" s="191">
        <v>2014</v>
      </c>
      <c r="L37" s="191">
        <v>2015</v>
      </c>
      <c r="M37" s="191">
        <v>2016</v>
      </c>
      <c r="N37" s="191">
        <v>2017</v>
      </c>
      <c r="O37" s="191">
        <v>2018</v>
      </c>
      <c r="P37" s="191">
        <v>2019</v>
      </c>
      <c r="Q37" s="191">
        <v>2020</v>
      </c>
      <c r="R37" s="191">
        <v>2021</v>
      </c>
      <c r="S37" s="191">
        <v>2022</v>
      </c>
    </row>
    <row r="38" spans="1:26" ht="15.75" thickBot="1" x14ac:dyDescent="0.3">
      <c r="A38" s="166" t="s">
        <v>395</v>
      </c>
      <c r="B38" s="169">
        <v>8.08</v>
      </c>
      <c r="C38" s="169">
        <v>8.0500000000000007</v>
      </c>
      <c r="D38" s="169">
        <v>8.26</v>
      </c>
      <c r="E38" s="169">
        <v>8.64</v>
      </c>
      <c r="F38" s="169">
        <v>8.73</v>
      </c>
      <c r="G38" s="169">
        <v>8.8699999999999992</v>
      </c>
      <c r="H38" s="169">
        <v>8.9</v>
      </c>
      <c r="I38" s="169">
        <v>9.02</v>
      </c>
      <c r="J38" s="169">
        <v>9</v>
      </c>
      <c r="K38" s="169">
        <v>9</v>
      </c>
      <c r="L38" s="169">
        <v>9.1300000000000008</v>
      </c>
      <c r="M38" s="169">
        <v>9.4600000000000009</v>
      </c>
      <c r="N38" s="169">
        <v>9.85</v>
      </c>
      <c r="O38" s="169">
        <v>10.4</v>
      </c>
      <c r="P38" s="169">
        <v>10.89</v>
      </c>
      <c r="Q38" s="169">
        <v>11.3</v>
      </c>
      <c r="R38" s="169">
        <v>11.3</v>
      </c>
      <c r="S38" s="170">
        <v>12.45</v>
      </c>
      <c r="T38">
        <f>S38-(B38*1.4985)</f>
        <v>0.34211999999999954</v>
      </c>
      <c r="U38">
        <f>T38/B38</f>
        <v>4.2341584158415782E-2</v>
      </c>
    </row>
    <row r="39" spans="1:26" ht="15.75" thickTop="1" x14ac:dyDescent="0.25">
      <c r="A39" s="143" t="s">
        <v>396</v>
      </c>
      <c r="B39" s="150">
        <v>8.84</v>
      </c>
      <c r="C39" s="150">
        <v>9.09</v>
      </c>
      <c r="D39" s="150">
        <v>9.2799999999999994</v>
      </c>
      <c r="E39" s="150">
        <v>9.41</v>
      </c>
      <c r="F39" s="150">
        <v>9.41</v>
      </c>
      <c r="G39" s="150">
        <v>9.4600000000000009</v>
      </c>
      <c r="H39" s="150">
        <v>9.76</v>
      </c>
      <c r="I39" s="150">
        <v>9.8000000000000007</v>
      </c>
      <c r="J39" s="150">
        <v>9.81</v>
      </c>
      <c r="K39" s="150">
        <v>9.74</v>
      </c>
      <c r="L39" s="150">
        <v>9.89</v>
      </c>
      <c r="M39" s="150">
        <v>10.17</v>
      </c>
      <c r="N39" s="150">
        <v>10.54</v>
      </c>
      <c r="O39" s="150">
        <v>11.09</v>
      </c>
      <c r="P39" s="150">
        <v>11.57</v>
      </c>
      <c r="Q39" s="150">
        <v>11.83</v>
      </c>
      <c r="R39" s="150">
        <v>13.49</v>
      </c>
      <c r="S39" s="151">
        <v>13.69</v>
      </c>
      <c r="T39">
        <f t="shared" ref="T39:T43" si="27">S39-(B39*1.4985)</f>
        <v>0.44326000000000043</v>
      </c>
      <c r="U39">
        <f>T39/B39</f>
        <v>5.0142533936651634E-2</v>
      </c>
    </row>
    <row r="40" spans="1:26" x14ac:dyDescent="0.25">
      <c r="A40" s="143" t="s">
        <v>397</v>
      </c>
      <c r="B40" s="150">
        <v>10.119999999999999</v>
      </c>
      <c r="C40" s="150">
        <v>9.59</v>
      </c>
      <c r="D40" s="150">
        <v>9.7200000000000006</v>
      </c>
      <c r="E40" s="150">
        <v>9.59</v>
      </c>
      <c r="F40" s="150">
        <v>10</v>
      </c>
      <c r="G40" s="150">
        <v>9.73</v>
      </c>
      <c r="H40" s="150">
        <v>9.9499999999999993</v>
      </c>
      <c r="I40" s="150">
        <v>9.57</v>
      </c>
      <c r="J40" s="150">
        <v>9.69</v>
      </c>
      <c r="K40" s="150">
        <v>9.7200000000000006</v>
      </c>
      <c r="L40" s="150">
        <v>9.81</v>
      </c>
      <c r="M40" s="150">
        <v>9.75</v>
      </c>
      <c r="N40" s="150">
        <v>10.45</v>
      </c>
      <c r="O40" s="150">
        <v>11.07</v>
      </c>
      <c r="P40" s="150">
        <v>11.89</v>
      </c>
      <c r="Q40" s="150">
        <v>12.09</v>
      </c>
      <c r="R40" s="150">
        <v>11.6</v>
      </c>
      <c r="S40" s="151">
        <v>13.69</v>
      </c>
      <c r="T40">
        <f t="shared" si="27"/>
        <v>-1.4748199999999994</v>
      </c>
      <c r="U40">
        <f t="shared" ref="U40:U43" si="28">T40/B40</f>
        <v>-0.14573320158102762</v>
      </c>
    </row>
    <row r="41" spans="1:26" x14ac:dyDescent="0.25">
      <c r="A41" s="143" t="s">
        <v>398</v>
      </c>
      <c r="B41" s="150">
        <v>6.45</v>
      </c>
      <c r="C41" s="150">
        <v>6.67</v>
      </c>
      <c r="D41" s="150">
        <v>7.48</v>
      </c>
      <c r="E41" s="150">
        <v>7.68</v>
      </c>
      <c r="F41" s="150">
        <v>7.97</v>
      </c>
      <c r="G41" s="150">
        <v>8.5</v>
      </c>
      <c r="H41" s="150">
        <v>8.84</v>
      </c>
      <c r="I41" s="150">
        <v>8.7799999999999994</v>
      </c>
      <c r="J41" s="150">
        <v>8.75</v>
      </c>
      <c r="K41" s="150">
        <v>8.77</v>
      </c>
      <c r="L41" s="150">
        <v>9.08</v>
      </c>
      <c r="M41" s="150">
        <v>9.2200000000000006</v>
      </c>
      <c r="N41" s="150">
        <v>9.41</v>
      </c>
      <c r="O41" s="150">
        <v>9.6300000000000008</v>
      </c>
      <c r="P41" s="150">
        <v>10.27</v>
      </c>
      <c r="Q41" s="150">
        <v>11.25</v>
      </c>
      <c r="R41" s="150">
        <v>13.78</v>
      </c>
      <c r="S41" s="151">
        <v>14.88</v>
      </c>
      <c r="T41">
        <f t="shared" si="27"/>
        <v>5.2146750000000015</v>
      </c>
      <c r="U41">
        <f t="shared" si="28"/>
        <v>0.80847674418604676</v>
      </c>
      <c r="W41" s="224"/>
    </row>
    <row r="42" spans="1:26" x14ac:dyDescent="0.25">
      <c r="A42" s="143" t="s">
        <v>399</v>
      </c>
      <c r="B42" s="150">
        <v>11.12</v>
      </c>
      <c r="C42" s="150">
        <v>11.91</v>
      </c>
      <c r="D42" s="150">
        <v>12.32</v>
      </c>
      <c r="E42" s="150">
        <v>13.66</v>
      </c>
      <c r="F42" s="150">
        <v>13.9</v>
      </c>
      <c r="G42" s="150">
        <v>13.98</v>
      </c>
      <c r="H42" s="150">
        <v>14.01</v>
      </c>
      <c r="I42" s="150">
        <v>14.32</v>
      </c>
      <c r="J42" s="150">
        <v>14.3</v>
      </c>
      <c r="K42" s="150">
        <v>14.09</v>
      </c>
      <c r="L42" s="150">
        <v>14.17</v>
      </c>
      <c r="M42" s="150">
        <v>14.1</v>
      </c>
      <c r="N42" s="150">
        <v>14.05</v>
      </c>
      <c r="O42" s="150">
        <v>14.3</v>
      </c>
      <c r="P42" s="150">
        <v>14.26</v>
      </c>
      <c r="Q42" s="150">
        <v>14.79</v>
      </c>
      <c r="R42" s="150">
        <v>15.87</v>
      </c>
      <c r="S42" s="151">
        <v>15.74</v>
      </c>
      <c r="T42">
        <f t="shared" si="27"/>
        <v>-0.92331999999999859</v>
      </c>
      <c r="U42">
        <f t="shared" si="28"/>
        <v>-8.30323741007193E-2</v>
      </c>
    </row>
    <row r="43" spans="1:26" x14ac:dyDescent="0.25">
      <c r="A43" s="143" t="s">
        <v>199</v>
      </c>
      <c r="B43" s="152">
        <v>10.23</v>
      </c>
      <c r="C43" s="152">
        <v>10.63</v>
      </c>
      <c r="D43" s="152">
        <v>10.99</v>
      </c>
      <c r="E43" s="152">
        <v>11.18</v>
      </c>
      <c r="F43" s="152">
        <v>11.38</v>
      </c>
      <c r="G43" s="152">
        <v>11.37</v>
      </c>
      <c r="H43" s="152">
        <v>11.77</v>
      </c>
      <c r="I43" s="152">
        <v>11.64</v>
      </c>
      <c r="J43" s="152">
        <v>11.74</v>
      </c>
      <c r="K43" s="152">
        <v>11.73</v>
      </c>
      <c r="L43" s="152">
        <v>12.01</v>
      </c>
      <c r="M43" s="152">
        <v>12.55</v>
      </c>
      <c r="N43" s="152">
        <v>13.12</v>
      </c>
      <c r="O43" s="152">
        <v>13.97</v>
      </c>
      <c r="P43" s="152">
        <v>14.62</v>
      </c>
      <c r="Q43" s="152">
        <v>15.2</v>
      </c>
      <c r="R43" s="152">
        <v>17.38</v>
      </c>
      <c r="S43" s="153">
        <v>17.57</v>
      </c>
      <c r="T43">
        <f t="shared" si="27"/>
        <v>2.2403449999999996</v>
      </c>
      <c r="U43">
        <f t="shared" si="28"/>
        <v>0.21899755620723357</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403</v>
      </c>
      <c r="B46" s="315"/>
      <c r="C46" s="315"/>
      <c r="D46" s="315"/>
      <c r="E46" s="315"/>
      <c r="F46" s="315"/>
      <c r="G46" s="315"/>
      <c r="H46" s="315"/>
      <c r="I46" s="315"/>
      <c r="J46" s="315"/>
      <c r="K46" s="315"/>
      <c r="L46" s="315"/>
      <c r="M46" s="315"/>
      <c r="N46" s="315"/>
      <c r="O46" s="315"/>
      <c r="P46" s="315"/>
      <c r="Q46" s="315"/>
      <c r="R46" s="315"/>
      <c r="S46" s="315"/>
    </row>
    <row r="47" spans="1:26" x14ac:dyDescent="0.25">
      <c r="A47" s="190" t="s">
        <v>188</v>
      </c>
      <c r="B47" s="191">
        <v>2005</v>
      </c>
      <c r="C47" s="191">
        <v>2006</v>
      </c>
      <c r="D47" s="191">
        <v>2007</v>
      </c>
      <c r="E47" s="191">
        <v>2008</v>
      </c>
      <c r="F47" s="191">
        <v>2009</v>
      </c>
      <c r="G47" s="191">
        <v>2010</v>
      </c>
      <c r="H47" s="191">
        <v>2011</v>
      </c>
      <c r="I47" s="191">
        <v>2012</v>
      </c>
      <c r="J47" s="191">
        <v>2013</v>
      </c>
      <c r="K47" s="191">
        <v>2014</v>
      </c>
      <c r="L47" s="191">
        <v>2015</v>
      </c>
      <c r="M47" s="191">
        <v>2016</v>
      </c>
      <c r="N47" s="191">
        <v>2017</v>
      </c>
      <c r="O47" s="191">
        <v>2018</v>
      </c>
      <c r="P47" s="191">
        <v>2019</v>
      </c>
      <c r="Q47" s="191">
        <v>2020</v>
      </c>
      <c r="R47" s="191">
        <v>2021</v>
      </c>
      <c r="S47" s="191">
        <v>2022</v>
      </c>
    </row>
    <row r="48" spans="1:26" ht="15.75" thickBot="1" x14ac:dyDescent="0.3">
      <c r="A48" s="166" t="s">
        <v>395</v>
      </c>
      <c r="B48" s="168">
        <f>(B38-B38)/B38</f>
        <v>0</v>
      </c>
      <c r="C48" s="168">
        <f>(C38-B38)/B38</f>
        <v>-3.7128712871286338E-3</v>
      </c>
      <c r="D48" s="168">
        <f>(D38-B38)/B38</f>
        <v>2.2277227722772242E-2</v>
      </c>
      <c r="E48" s="168">
        <f>(E38-B38)/B38</f>
        <v>6.9306930693069368E-2</v>
      </c>
      <c r="F48" s="168">
        <f>(F38-B38)/B38</f>
        <v>8.0445544554455489E-2</v>
      </c>
      <c r="G48" s="168">
        <f>(G38-B38)/B38</f>
        <v>9.7772277227722665E-2</v>
      </c>
      <c r="H48" s="168">
        <f>(H38-B38)/B38</f>
        <v>0.10148514851485152</v>
      </c>
      <c r="I48" s="168">
        <f>(I38-B38)/B38</f>
        <v>0.11633663366336627</v>
      </c>
      <c r="J48" s="168">
        <f>(J38-B38)/B38</f>
        <v>0.11386138613861385</v>
      </c>
      <c r="K48" s="168">
        <f>(K38-B38)/B38</f>
        <v>0.11386138613861385</v>
      </c>
      <c r="L48" s="168">
        <f>(L38-B38)/B38</f>
        <v>0.12995049504950504</v>
      </c>
      <c r="M48" s="168">
        <f>(M38-B38)/B38</f>
        <v>0.17079207920792089</v>
      </c>
      <c r="N48" s="168">
        <f>(N38-B38)/B38</f>
        <v>0.219059405940594</v>
      </c>
      <c r="O48" s="168">
        <f>(O38-B38)/B38</f>
        <v>0.28712871287128716</v>
      </c>
      <c r="P48" s="168">
        <f>(P38-B38)/B38</f>
        <v>0.3477722772277228</v>
      </c>
      <c r="Q48" s="168">
        <f>(Q38-B38)/B38</f>
        <v>0.39851485148514859</v>
      </c>
      <c r="R48" s="168">
        <f>(R38-B38)/B38</f>
        <v>0.39851485148514859</v>
      </c>
      <c r="S48" s="168">
        <f>(S38-B38)/B38</f>
        <v>0.54084158415841577</v>
      </c>
    </row>
    <row r="49" spans="1:19" ht="15.75" thickTop="1" x14ac:dyDescent="0.25">
      <c r="A49" s="143" t="s">
        <v>396</v>
      </c>
      <c r="B49" s="147">
        <f>(B39-B39)/B39</f>
        <v>0</v>
      </c>
      <c r="C49" s="147">
        <f>(C39-B39)/B39</f>
        <v>2.828054298642534E-2</v>
      </c>
      <c r="D49" s="147">
        <f>(D39-B39)/B39</f>
        <v>4.9773755656108538E-2</v>
      </c>
      <c r="E49" s="147">
        <f>(E39-B39)/B39</f>
        <v>6.4479638009049808E-2</v>
      </c>
      <c r="F49" s="147">
        <f>(F39-B39)/B39</f>
        <v>6.4479638009049808E-2</v>
      </c>
      <c r="G49" s="147">
        <f>(G39-B39)/B39</f>
        <v>7.0135746606334953E-2</v>
      </c>
      <c r="H49" s="147">
        <f>(H39-B39)/B39</f>
        <v>0.10407239819004524</v>
      </c>
      <c r="I49" s="147">
        <f>(I39-B39)/B39</f>
        <v>0.1085972850678734</v>
      </c>
      <c r="J49" s="147">
        <f>(J39-B39)/B39</f>
        <v>0.10972850678733038</v>
      </c>
      <c r="K49" s="147">
        <f>(K39-B39)/B39</f>
        <v>0.10180995475113126</v>
      </c>
      <c r="L49" s="147">
        <f>(L39-B39)/B39</f>
        <v>0.1187782805429865</v>
      </c>
      <c r="M49" s="147">
        <f>(M39-B39)/B39</f>
        <v>0.15045248868778283</v>
      </c>
      <c r="N49" s="147">
        <f>(N39-B39)/B39</f>
        <v>0.19230769230769224</v>
      </c>
      <c r="O49" s="147">
        <f>(O39-B39)/B39</f>
        <v>0.25452488687782804</v>
      </c>
      <c r="P49" s="147">
        <f>(P39-B39)/B39</f>
        <v>0.30882352941176477</v>
      </c>
      <c r="Q49" s="147">
        <f>(Q39-B39)/B39</f>
        <v>0.33823529411764708</v>
      </c>
      <c r="R49" s="147">
        <f>(R39-B39)/B39</f>
        <v>0.52601809954751133</v>
      </c>
      <c r="S49" s="147">
        <f>(S39-B39)/B39</f>
        <v>0.54864253393665152</v>
      </c>
    </row>
    <row r="50" spans="1:19" x14ac:dyDescent="0.25">
      <c r="A50" s="143" t="s">
        <v>397</v>
      </c>
      <c r="B50" s="147">
        <f t="shared" ref="B50:B53" si="29">(B40-B40)/B40</f>
        <v>0</v>
      </c>
      <c r="C50" s="147">
        <f t="shared" ref="C50:C53" si="30">(C40-B40)/B40</f>
        <v>-5.2371541501976225E-2</v>
      </c>
      <c r="D50" s="147">
        <f t="shared" ref="D50:D53" si="31">(D40-B40)/B40</f>
        <v>-3.9525691699604605E-2</v>
      </c>
      <c r="E50" s="147">
        <f t="shared" ref="E50:E53" si="32">(E40-B40)/B40</f>
        <v>-5.2371541501976225E-2</v>
      </c>
      <c r="F50" s="147">
        <f t="shared" ref="F50:F53" si="33">(F40-B40)/B40</f>
        <v>-1.1857707509881346E-2</v>
      </c>
      <c r="G50" s="147">
        <f t="shared" ref="G50:G53" si="34">(G40-B40)/B40</f>
        <v>-3.8537549407114506E-2</v>
      </c>
      <c r="H50" s="147">
        <f t="shared" ref="H50:H53" si="35">(H40-B40)/B40</f>
        <v>-1.6798418972332009E-2</v>
      </c>
      <c r="I50" s="147">
        <f t="shared" ref="I50:I53" si="36">(I40-B40)/B40</f>
        <v>-5.4347826086956423E-2</v>
      </c>
      <c r="J50" s="147">
        <f t="shared" ref="J50:J53" si="37">(J40-B40)/B40</f>
        <v>-4.2490118577075076E-2</v>
      </c>
      <c r="K50" s="147">
        <f t="shared" ref="K50:K53" si="38">(K40-B40)/B40</f>
        <v>-3.9525691699604605E-2</v>
      </c>
      <c r="L50" s="147">
        <f t="shared" ref="L50:L53" si="39">(L40-B40)/B40</f>
        <v>-3.0632411067193551E-2</v>
      </c>
      <c r="M50" s="147">
        <f t="shared" ref="M50:M53" si="40">(M40-B40)/B40</f>
        <v>-3.6561264822134315E-2</v>
      </c>
      <c r="N50" s="147">
        <f t="shared" ref="N50:N53" si="41">(N40-B40)/B40</f>
        <v>3.2608695652173926E-2</v>
      </c>
      <c r="O50" s="147">
        <f t="shared" ref="O50:O53" si="42">(O40-B40)/B40</f>
        <v>9.3873517786561375E-2</v>
      </c>
      <c r="P50" s="147">
        <f t="shared" ref="P50:P53" si="43">(P40-B40)/B40</f>
        <v>0.17490118577075114</v>
      </c>
      <c r="Q50" s="147">
        <f t="shared" ref="Q50:Q53" si="44">(Q40-B40)/B40</f>
        <v>0.19466403162055343</v>
      </c>
      <c r="R50" s="147">
        <f t="shared" ref="R50:R53" si="45">(R40-B40)/B40</f>
        <v>0.14624505928853759</v>
      </c>
      <c r="S50" s="147">
        <f t="shared" ref="S50:S52" si="46">(S40-B40)/B40</f>
        <v>0.3527667984189724</v>
      </c>
    </row>
    <row r="51" spans="1:19" x14ac:dyDescent="0.25">
      <c r="A51" s="143" t="s">
        <v>398</v>
      </c>
      <c r="B51" s="147">
        <f t="shared" si="29"/>
        <v>0</v>
      </c>
      <c r="C51" s="147">
        <f t="shared" si="30"/>
        <v>3.4108527131782904E-2</v>
      </c>
      <c r="D51" s="147">
        <f t="shared" si="31"/>
        <v>0.15968992248062019</v>
      </c>
      <c r="E51" s="147">
        <f t="shared" si="32"/>
        <v>0.19069767441860458</v>
      </c>
      <c r="F51" s="147">
        <f t="shared" si="33"/>
        <v>0.23565891472868211</v>
      </c>
      <c r="G51" s="147">
        <f t="shared" si="34"/>
        <v>0.31782945736434104</v>
      </c>
      <c r="H51" s="147">
        <f t="shared" si="35"/>
        <v>0.37054263565891465</v>
      </c>
      <c r="I51" s="147">
        <f t="shared" si="36"/>
        <v>0.36124031007751922</v>
      </c>
      <c r="J51" s="147">
        <f t="shared" si="37"/>
        <v>0.35658914728682167</v>
      </c>
      <c r="K51" s="147">
        <f t="shared" si="38"/>
        <v>0.35968992248062004</v>
      </c>
      <c r="L51" s="147">
        <f t="shared" si="39"/>
        <v>0.4077519379844961</v>
      </c>
      <c r="M51" s="147">
        <f t="shared" si="40"/>
        <v>0.42945736434108533</v>
      </c>
      <c r="N51" s="147">
        <f t="shared" si="41"/>
        <v>0.45891472868217054</v>
      </c>
      <c r="O51" s="147">
        <f t="shared" si="42"/>
        <v>0.49302325581395356</v>
      </c>
      <c r="P51" s="147">
        <f t="shared" si="43"/>
        <v>0.59224806201550373</v>
      </c>
      <c r="Q51" s="147">
        <f t="shared" si="44"/>
        <v>0.7441860465116279</v>
      </c>
      <c r="R51" s="147">
        <f t="shared" si="45"/>
        <v>1.1364341085271317</v>
      </c>
      <c r="S51" s="147">
        <f t="shared" si="46"/>
        <v>1.3069767441860465</v>
      </c>
    </row>
    <row r="52" spans="1:19" x14ac:dyDescent="0.25">
      <c r="A52" s="143" t="s">
        <v>399</v>
      </c>
      <c r="B52" s="147">
        <f t="shared" si="29"/>
        <v>0</v>
      </c>
      <c r="C52" s="147">
        <f t="shared" si="30"/>
        <v>7.1043165467625985E-2</v>
      </c>
      <c r="D52" s="147">
        <f t="shared" si="31"/>
        <v>0.10791366906474831</v>
      </c>
      <c r="E52" s="147">
        <f t="shared" si="32"/>
        <v>0.22841726618705047</v>
      </c>
      <c r="F52" s="147">
        <f t="shared" si="33"/>
        <v>0.25000000000000011</v>
      </c>
      <c r="G52" s="147">
        <f t="shared" si="34"/>
        <v>0.25719424460431667</v>
      </c>
      <c r="H52" s="147">
        <f t="shared" si="35"/>
        <v>0.2598920863309353</v>
      </c>
      <c r="I52" s="147">
        <f t="shared" si="36"/>
        <v>0.28776978417266197</v>
      </c>
      <c r="J52" s="147">
        <f t="shared" si="37"/>
        <v>0.2859712230215829</v>
      </c>
      <c r="K52" s="147">
        <f t="shared" si="38"/>
        <v>0.26708633093525186</v>
      </c>
      <c r="L52" s="147">
        <f t="shared" si="39"/>
        <v>0.27428057553956842</v>
      </c>
      <c r="M52" s="147">
        <f t="shared" si="40"/>
        <v>0.26798561151079142</v>
      </c>
      <c r="N52" s="147">
        <f t="shared" si="41"/>
        <v>0.26348920863309366</v>
      </c>
      <c r="O52" s="147">
        <f t="shared" si="42"/>
        <v>0.2859712230215829</v>
      </c>
      <c r="P52" s="147">
        <f t="shared" si="43"/>
        <v>0.28237410071942454</v>
      </c>
      <c r="Q52" s="147">
        <f t="shared" si="44"/>
        <v>0.33003597122302158</v>
      </c>
      <c r="R52" s="147">
        <f t="shared" si="45"/>
        <v>0.42715827338129497</v>
      </c>
      <c r="S52" s="147">
        <f t="shared" si="46"/>
        <v>0.41546762589928071</v>
      </c>
    </row>
    <row r="53" spans="1:19" x14ac:dyDescent="0.25">
      <c r="A53" s="143" t="s">
        <v>199</v>
      </c>
      <c r="B53" s="147">
        <f t="shared" si="29"/>
        <v>0</v>
      </c>
      <c r="C53" s="147">
        <f t="shared" si="30"/>
        <v>3.9100684261974619E-2</v>
      </c>
      <c r="D53" s="147">
        <f t="shared" si="31"/>
        <v>7.4291300097751686E-2</v>
      </c>
      <c r="E53" s="147">
        <f t="shared" si="32"/>
        <v>9.286412512218957E-2</v>
      </c>
      <c r="F53" s="147">
        <f t="shared" si="33"/>
        <v>0.11241446725317696</v>
      </c>
      <c r="G53" s="147">
        <f t="shared" si="34"/>
        <v>0.11143695014662744</v>
      </c>
      <c r="H53" s="147">
        <f t="shared" si="35"/>
        <v>0.15053763440860207</v>
      </c>
      <c r="I53" s="147">
        <f t="shared" si="36"/>
        <v>0.13782991202346043</v>
      </c>
      <c r="J53" s="147">
        <f t="shared" si="37"/>
        <v>0.14760508308895404</v>
      </c>
      <c r="K53" s="147">
        <f t="shared" si="38"/>
        <v>0.14662756598240467</v>
      </c>
      <c r="L53" s="147">
        <f t="shared" si="39"/>
        <v>0.17399804496578683</v>
      </c>
      <c r="M53" s="147">
        <f t="shared" si="40"/>
        <v>0.22678396871945261</v>
      </c>
      <c r="N53" s="147">
        <f t="shared" si="41"/>
        <v>0.28250244379276623</v>
      </c>
      <c r="O53" s="147">
        <f t="shared" si="42"/>
        <v>0.36559139784946237</v>
      </c>
      <c r="P53" s="147">
        <f t="shared" si="43"/>
        <v>0.42913000977517091</v>
      </c>
      <c r="Q53" s="147">
        <f t="shared" si="44"/>
        <v>0.48582600195503406</v>
      </c>
      <c r="R53" s="147">
        <f t="shared" si="45"/>
        <v>0.69892473118279552</v>
      </c>
      <c r="S53" s="147">
        <f>(S43-B43)/B43</f>
        <v>0.71749755620723354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FD349-1020-42EA-909C-994C88FC2847}">
  <sheetPr>
    <tabColor rgb="FF5E82A3"/>
  </sheetPr>
  <dimension ref="A1:AJ23"/>
  <sheetViews>
    <sheetView zoomScaleNormal="100" workbookViewId="0">
      <selection activeCell="C8" sqref="C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404</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405</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90" t="s">
        <v>188</v>
      </c>
      <c r="B4" s="191">
        <v>2001</v>
      </c>
      <c r="C4" s="191">
        <v>2002</v>
      </c>
      <c r="D4" s="191">
        <v>2003</v>
      </c>
      <c r="E4" s="191">
        <v>2004</v>
      </c>
      <c r="F4" s="191">
        <v>2005</v>
      </c>
      <c r="G4" s="191">
        <v>2006</v>
      </c>
      <c r="H4" s="191">
        <v>2007</v>
      </c>
      <c r="I4" s="191">
        <v>2008</v>
      </c>
      <c r="J4" s="191">
        <v>2009</v>
      </c>
      <c r="K4" s="191">
        <v>2010</v>
      </c>
      <c r="L4" s="191">
        <v>2011</v>
      </c>
      <c r="M4" s="191">
        <v>2012</v>
      </c>
      <c r="N4" s="191">
        <v>2013</v>
      </c>
      <c r="O4" s="191">
        <v>2014</v>
      </c>
      <c r="P4" s="191">
        <v>2015</v>
      </c>
      <c r="Q4" s="191">
        <v>2016</v>
      </c>
      <c r="R4" s="191">
        <v>2017</v>
      </c>
      <c r="S4" s="191">
        <v>2018</v>
      </c>
      <c r="T4" s="191">
        <v>2019</v>
      </c>
      <c r="U4" s="191">
        <v>2020</v>
      </c>
      <c r="V4" s="191">
        <v>2021</v>
      </c>
      <c r="W4" s="191">
        <v>2022</v>
      </c>
      <c r="X4" s="142"/>
    </row>
    <row r="5" spans="1:28" x14ac:dyDescent="0.2">
      <c r="A5" s="143" t="s">
        <v>1</v>
      </c>
      <c r="B5" s="144">
        <v>46919</v>
      </c>
      <c r="C5" s="144">
        <v>48222</v>
      </c>
      <c r="D5" s="144">
        <v>48204</v>
      </c>
      <c r="E5" s="144">
        <v>48754</v>
      </c>
      <c r="F5" s="144">
        <v>49349</v>
      </c>
      <c r="G5" s="144">
        <v>48856</v>
      </c>
      <c r="H5" s="144">
        <v>47724</v>
      </c>
      <c r="I5" s="144">
        <v>45288</v>
      </c>
      <c r="J5" s="144">
        <v>44189</v>
      </c>
      <c r="K5" s="144">
        <v>40683</v>
      </c>
      <c r="L5" s="144">
        <v>41397</v>
      </c>
      <c r="M5" s="144">
        <v>40562</v>
      </c>
      <c r="N5" s="144">
        <v>39070</v>
      </c>
      <c r="O5" s="144">
        <v>38872</v>
      </c>
      <c r="P5" s="144">
        <v>37697</v>
      </c>
      <c r="Q5" s="144">
        <v>36365</v>
      </c>
      <c r="R5" s="144">
        <v>35038</v>
      </c>
      <c r="S5" s="144">
        <v>36687</v>
      </c>
      <c r="T5" s="144">
        <v>36383</v>
      </c>
      <c r="U5" s="144">
        <v>33323</v>
      </c>
      <c r="V5" s="144">
        <v>31504</v>
      </c>
      <c r="W5" s="144">
        <v>32753</v>
      </c>
      <c r="X5" s="145"/>
    </row>
    <row r="6" spans="1:28" x14ac:dyDescent="0.2">
      <c r="A6" s="143" t="s">
        <v>228</v>
      </c>
      <c r="B6" s="144">
        <v>1477063</v>
      </c>
      <c r="C6" s="144">
        <v>1531107</v>
      </c>
      <c r="D6" s="144">
        <v>1549442</v>
      </c>
      <c r="E6" s="144">
        <v>1558826</v>
      </c>
      <c r="F6" s="144">
        <v>1574291</v>
      </c>
      <c r="G6" s="144">
        <v>1612543</v>
      </c>
      <c r="H6" s="144">
        <v>1621834</v>
      </c>
      <c r="I6" s="144">
        <v>1616316</v>
      </c>
      <c r="J6" s="144">
        <v>1638892</v>
      </c>
      <c r="K6" s="144">
        <v>1590239</v>
      </c>
      <c r="L6" s="144">
        <v>1623075</v>
      </c>
      <c r="M6" s="144">
        <v>1671094</v>
      </c>
      <c r="N6" s="144">
        <v>1549480</v>
      </c>
      <c r="O6" s="144">
        <v>1572404</v>
      </c>
      <c r="P6" s="144">
        <v>1535660</v>
      </c>
      <c r="Q6" s="144">
        <v>1494125</v>
      </c>
      <c r="R6" s="144">
        <v>1453081</v>
      </c>
      <c r="S6" s="144">
        <v>1488009</v>
      </c>
      <c r="T6" s="144">
        <v>1442197</v>
      </c>
      <c r="U6" s="144">
        <v>1294051</v>
      </c>
      <c r="V6" s="144">
        <v>1212362</v>
      </c>
      <c r="W6" s="144">
        <v>1214918</v>
      </c>
      <c r="X6" s="145"/>
    </row>
    <row r="7" spans="1:28" ht="15.75" x14ac:dyDescent="0.25">
      <c r="A7" s="142"/>
      <c r="B7" s="142"/>
      <c r="C7" s="142"/>
      <c r="D7" s="142"/>
      <c r="E7" s="142"/>
      <c r="F7" s="142"/>
      <c r="G7" s="142"/>
      <c r="H7" s="142"/>
      <c r="I7" s="142"/>
      <c r="J7" s="142"/>
      <c r="K7" s="142"/>
      <c r="L7" s="142"/>
      <c r="M7" s="142"/>
      <c r="N7" s="142"/>
      <c r="O7" s="142"/>
      <c r="P7" s="142"/>
      <c r="Q7" s="142"/>
      <c r="R7" s="142"/>
      <c r="S7" s="142"/>
      <c r="T7" s="142"/>
      <c r="U7" s="142"/>
      <c r="V7" s="142"/>
      <c r="W7" s="142"/>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ht="15.75" x14ac:dyDescent="0.25">
      <c r="A9" s="315" t="s">
        <v>406</v>
      </c>
      <c r="B9" s="315"/>
      <c r="C9" s="315"/>
      <c r="D9" s="315"/>
      <c r="E9" s="315"/>
      <c r="F9" s="315"/>
      <c r="G9" s="315"/>
      <c r="H9" s="315"/>
      <c r="I9" s="315"/>
      <c r="J9" s="315"/>
      <c r="K9" s="315"/>
      <c r="L9" s="315"/>
      <c r="M9" s="315"/>
      <c r="N9" s="315"/>
      <c r="O9" s="315"/>
      <c r="P9" s="315"/>
      <c r="Q9" s="315"/>
      <c r="R9" s="315"/>
      <c r="S9" s="315"/>
      <c r="T9" s="315"/>
      <c r="U9" s="315"/>
      <c r="V9" s="315"/>
      <c r="W9" s="315"/>
    </row>
    <row r="10" spans="1:28" x14ac:dyDescent="0.2">
      <c r="A10" s="190" t="s">
        <v>188</v>
      </c>
      <c r="B10" s="191">
        <v>2001</v>
      </c>
      <c r="C10" s="191">
        <v>2002</v>
      </c>
      <c r="D10" s="191">
        <v>2003</v>
      </c>
      <c r="E10" s="191">
        <v>2004</v>
      </c>
      <c r="F10" s="191">
        <v>2005</v>
      </c>
      <c r="G10" s="191">
        <v>2006</v>
      </c>
      <c r="H10" s="191">
        <v>2007</v>
      </c>
      <c r="I10" s="191">
        <v>2008</v>
      </c>
      <c r="J10" s="191">
        <v>2009</v>
      </c>
      <c r="K10" s="191">
        <v>2010</v>
      </c>
      <c r="L10" s="191">
        <v>2011</v>
      </c>
      <c r="M10" s="191">
        <v>2012</v>
      </c>
      <c r="N10" s="191">
        <v>2013</v>
      </c>
      <c r="O10" s="191">
        <v>2014</v>
      </c>
      <c r="P10" s="191">
        <v>2015</v>
      </c>
      <c r="Q10" s="191">
        <v>2016</v>
      </c>
      <c r="R10" s="191">
        <v>2017</v>
      </c>
      <c r="S10" s="191">
        <v>2018</v>
      </c>
      <c r="T10" s="191">
        <v>2019</v>
      </c>
      <c r="U10" s="191">
        <v>2020</v>
      </c>
      <c r="V10" s="191">
        <v>2021</v>
      </c>
      <c r="W10" s="191">
        <v>2022</v>
      </c>
    </row>
    <row r="11" spans="1:28" x14ac:dyDescent="0.2">
      <c r="A11" s="143" t="s">
        <v>1</v>
      </c>
      <c r="B11" s="171">
        <f>(B5-B5)/B5</f>
        <v>0</v>
      </c>
      <c r="C11" s="171">
        <f>(C5-B5)/B5</f>
        <v>2.7771265372237262E-2</v>
      </c>
      <c r="D11" s="171">
        <f>(D5-B5)/B5</f>
        <v>2.7387625482214028E-2</v>
      </c>
      <c r="E11" s="171">
        <f>(E5-B5)/B5</f>
        <v>3.9109955455146103E-2</v>
      </c>
      <c r="F11" s="171">
        <f>(F5-B5)/B5</f>
        <v>5.1791385153136256E-2</v>
      </c>
      <c r="G11" s="171">
        <f>(G5-B5)/B5</f>
        <v>4.1283914831944414E-2</v>
      </c>
      <c r="H11" s="171">
        <f>(H5-B5)/B5</f>
        <v>1.7157228414927856E-2</v>
      </c>
      <c r="I11" s="171">
        <f>(I5-B5)/B5</f>
        <v>-3.4762036701549481E-2</v>
      </c>
      <c r="J11" s="171">
        <f>(J5-B5)/B5</f>
        <v>-5.8185383320190118E-2</v>
      </c>
      <c r="K11" s="171">
        <f>(K5-B5)/B5</f>
        <v>-0.13290990856582621</v>
      </c>
      <c r="L11" s="171">
        <f>(L5-B5)/B5</f>
        <v>-0.11769219292823803</v>
      </c>
      <c r="M11" s="171">
        <f>(M5-B5)/B5</f>
        <v>-0.13548882115987126</v>
      </c>
      <c r="N11" s="171">
        <f>(N5-B5)/B5</f>
        <v>-0.16728830537735245</v>
      </c>
      <c r="O11" s="171">
        <f>(O5-B5)/B5</f>
        <v>-0.17150834416760802</v>
      </c>
      <c r="P11" s="171">
        <f>(P5-B5)/B5</f>
        <v>-0.19655150365523563</v>
      </c>
      <c r="Q11" s="171">
        <f>(Q5-B5)/B5</f>
        <v>-0.22494085551695475</v>
      </c>
      <c r="R11" s="171">
        <f>(R5-B5)/B5</f>
        <v>-0.25322364074255632</v>
      </c>
      <c r="S11" s="171">
        <f>(S5-B5)/B5</f>
        <v>-0.2180779641509836</v>
      </c>
      <c r="T11" s="171">
        <f>(T5-B5)/B5</f>
        <v>-0.22455721562693151</v>
      </c>
      <c r="U11" s="171">
        <f>(U5-B5)/B5</f>
        <v>-0.28977599693088085</v>
      </c>
      <c r="V11" s="171">
        <f>(V5-B5)/B5</f>
        <v>-0.3285449391504508</v>
      </c>
      <c r="W11" s="171">
        <f>(W5-B5)/B5</f>
        <v>-0.30192459344828321</v>
      </c>
    </row>
    <row r="12" spans="1:28" x14ac:dyDescent="0.2">
      <c r="A12" s="143" t="s">
        <v>228</v>
      </c>
      <c r="B12" s="171">
        <f>(B6-B6)/B6</f>
        <v>0</v>
      </c>
      <c r="C12" s="171">
        <f>(C6-B6)/B6</f>
        <v>3.6588825256607199E-2</v>
      </c>
      <c r="D12" s="171">
        <f>(D6-B6)/B6</f>
        <v>4.9001972156908678E-2</v>
      </c>
      <c r="E12" s="171">
        <f>(E6-B6)/B6</f>
        <v>5.5355120262304318E-2</v>
      </c>
      <c r="F12" s="171">
        <f>(F6-B6)/B6</f>
        <v>6.582522207922073E-2</v>
      </c>
      <c r="G12" s="171">
        <f>(G6-B6)/B6</f>
        <v>9.1722560242860324E-2</v>
      </c>
      <c r="H12" s="171">
        <f>(H6-B6)/B6</f>
        <v>9.8012745563323969E-2</v>
      </c>
      <c r="I12" s="171">
        <f>(I6-B6)/B6</f>
        <v>9.4276953657359233E-2</v>
      </c>
      <c r="J12" s="171">
        <f>(J6-B6)/B6</f>
        <v>0.10956133895439801</v>
      </c>
      <c r="K12" s="171">
        <f>(K6-B6)/B6</f>
        <v>7.6622324166267783E-2</v>
      </c>
      <c r="L12" s="171">
        <f>(L6-B6)/B6</f>
        <v>9.8852926381609987E-2</v>
      </c>
      <c r="M12" s="171">
        <f>(M6-B6)/B6</f>
        <v>0.13136271100149419</v>
      </c>
      <c r="N12" s="171">
        <f>(N6-B6)/B6</f>
        <v>4.9027698886235725E-2</v>
      </c>
      <c r="O12" s="171">
        <f>(O6-B6)/B6</f>
        <v>6.4547686862374859E-2</v>
      </c>
      <c r="P12" s="171">
        <f>(P6-B6)/B6</f>
        <v>3.9671293641503444E-2</v>
      </c>
      <c r="Q12" s="171">
        <f>(Q6-B6)/B6</f>
        <v>1.1551301467845313E-2</v>
      </c>
      <c r="R12" s="171">
        <f>(R6-B6)/B6</f>
        <v>-1.6236274282139626E-2</v>
      </c>
      <c r="S12" s="171">
        <f>(S6-B6)/B6</f>
        <v>7.4106520845759454E-3</v>
      </c>
      <c r="T12" s="171">
        <f>(T6-B6)/B6</f>
        <v>-2.360495117676091E-2</v>
      </c>
      <c r="U12" s="171">
        <f>(U6-B6)/B6</f>
        <v>-0.12390263651584259</v>
      </c>
      <c r="V12" s="171">
        <f>(V6-B6)/B6</f>
        <v>-0.17920765735787844</v>
      </c>
      <c r="W12" s="171">
        <f>(W6-B6)/B6</f>
        <v>-0.17747719630103795</v>
      </c>
    </row>
    <row r="14" spans="1:28" ht="15.75" x14ac:dyDescent="0.25">
      <c r="A14" s="315" t="s">
        <v>407</v>
      </c>
      <c r="B14" s="315"/>
      <c r="C14" s="315"/>
      <c r="D14" s="315"/>
      <c r="E14" s="315"/>
      <c r="F14" s="315"/>
      <c r="G14" s="315"/>
      <c r="H14" s="315"/>
      <c r="I14" s="315"/>
      <c r="J14" s="315"/>
      <c r="K14" s="315"/>
      <c r="L14" s="315"/>
      <c r="M14" s="315"/>
      <c r="N14" s="315"/>
      <c r="O14" s="315"/>
      <c r="P14" s="315"/>
      <c r="Q14" s="315"/>
      <c r="R14" s="315"/>
      <c r="S14" s="315"/>
      <c r="T14"/>
      <c r="U14"/>
      <c r="V14"/>
      <c r="W14"/>
    </row>
    <row r="15" spans="1:28" ht="15" x14ac:dyDescent="0.25">
      <c r="A15" s="190" t="s">
        <v>188</v>
      </c>
      <c r="B15" s="191">
        <v>2005</v>
      </c>
      <c r="C15" s="191">
        <v>2006</v>
      </c>
      <c r="D15" s="191">
        <v>2007</v>
      </c>
      <c r="E15" s="191">
        <v>2008</v>
      </c>
      <c r="F15" s="191">
        <v>2009</v>
      </c>
      <c r="G15" s="191">
        <v>2010</v>
      </c>
      <c r="H15" s="191">
        <v>2011</v>
      </c>
      <c r="I15" s="191">
        <v>2012</v>
      </c>
      <c r="J15" s="191">
        <v>2013</v>
      </c>
      <c r="K15" s="191">
        <v>2014</v>
      </c>
      <c r="L15" s="191">
        <v>2015</v>
      </c>
      <c r="M15" s="191">
        <v>2016</v>
      </c>
      <c r="N15" s="191">
        <v>2017</v>
      </c>
      <c r="O15" s="191">
        <v>2018</v>
      </c>
      <c r="P15" s="191">
        <v>2019</v>
      </c>
      <c r="Q15" s="191">
        <v>2020</v>
      </c>
      <c r="R15" s="191">
        <v>2021</v>
      </c>
      <c r="S15" s="191">
        <v>2022</v>
      </c>
      <c r="T15"/>
      <c r="U15"/>
      <c r="V15"/>
      <c r="W15"/>
    </row>
    <row r="16" spans="1:28" ht="15" x14ac:dyDescent="0.25">
      <c r="A16" s="143" t="s">
        <v>1</v>
      </c>
      <c r="B16" s="150">
        <v>8.08</v>
      </c>
      <c r="C16" s="150">
        <v>8.0500000000000007</v>
      </c>
      <c r="D16" s="150">
        <v>8.26</v>
      </c>
      <c r="E16" s="150">
        <v>8.64</v>
      </c>
      <c r="F16" s="150">
        <v>8.73</v>
      </c>
      <c r="G16" s="150">
        <v>8.8699999999999992</v>
      </c>
      <c r="H16" s="150">
        <v>8.9</v>
      </c>
      <c r="I16" s="150">
        <v>9.02</v>
      </c>
      <c r="J16" s="150">
        <v>9</v>
      </c>
      <c r="K16" s="150">
        <v>9</v>
      </c>
      <c r="L16" s="150">
        <v>9.1300000000000008</v>
      </c>
      <c r="M16" s="150">
        <v>9.4600000000000009</v>
      </c>
      <c r="N16" s="150">
        <v>9.85</v>
      </c>
      <c r="O16" s="150">
        <v>10.4</v>
      </c>
      <c r="P16" s="150">
        <v>10.89</v>
      </c>
      <c r="Q16" s="150">
        <v>11.3</v>
      </c>
      <c r="R16" s="150">
        <v>11.3</v>
      </c>
      <c r="S16" s="151">
        <v>12.45</v>
      </c>
      <c r="T16"/>
      <c r="U16"/>
      <c r="V16"/>
      <c r="W16"/>
    </row>
    <row r="17" spans="1:23" ht="15" x14ac:dyDescent="0.25">
      <c r="A17" s="143" t="s">
        <v>228</v>
      </c>
      <c r="B17" s="150">
        <v>7.76</v>
      </c>
      <c r="C17" s="150">
        <v>7.95</v>
      </c>
      <c r="D17" s="150">
        <v>8.23</v>
      </c>
      <c r="E17" s="150">
        <v>8.52</v>
      </c>
      <c r="F17" s="150">
        <v>8.7200000000000006</v>
      </c>
      <c r="G17" s="150">
        <v>8.8699999999999992</v>
      </c>
      <c r="H17" s="150">
        <v>8.99</v>
      </c>
      <c r="I17" s="150">
        <v>9.08</v>
      </c>
      <c r="J17" s="150">
        <v>9.16</v>
      </c>
      <c r="K17" s="150">
        <v>9.27</v>
      </c>
      <c r="L17" s="150">
        <v>9.5399999999999991</v>
      </c>
      <c r="M17" s="150">
        <v>9.92</v>
      </c>
      <c r="N17" s="150">
        <v>10.41</v>
      </c>
      <c r="O17" s="150">
        <v>10.85</v>
      </c>
      <c r="P17" s="150">
        <v>11.38</v>
      </c>
      <c r="Q17" s="150">
        <v>11.77</v>
      </c>
      <c r="R17" s="150">
        <v>12.63</v>
      </c>
      <c r="S17" s="151">
        <v>12.94</v>
      </c>
      <c r="T17"/>
      <c r="U17"/>
      <c r="V17"/>
      <c r="W17"/>
    </row>
    <row r="18" spans="1:23" ht="15" x14ac:dyDescent="0.25">
      <c r="B18" s="46"/>
      <c r="C18" s="46"/>
      <c r="D18" s="46"/>
      <c r="E18" s="46"/>
      <c r="F18" s="46"/>
      <c r="G18" s="46"/>
      <c r="H18" s="46"/>
      <c r="I18" s="46"/>
      <c r="J18" s="46"/>
      <c r="K18" s="46"/>
      <c r="L18" s="46"/>
      <c r="M18" s="46"/>
      <c r="N18" s="46"/>
      <c r="O18" s="46"/>
      <c r="P18" s="46"/>
      <c r="Q18" s="46"/>
      <c r="R18" s="46"/>
      <c r="S18" s="46"/>
      <c r="T18"/>
      <c r="U18"/>
      <c r="V18"/>
      <c r="W18"/>
    </row>
    <row r="19" spans="1:23" ht="15" x14ac:dyDescent="0.25">
      <c r="D19" s="1"/>
      <c r="K19" s="40"/>
      <c r="O19" s="1"/>
      <c r="T19"/>
      <c r="U19"/>
      <c r="V19"/>
      <c r="W19"/>
    </row>
    <row r="20" spans="1:23" ht="15.75" x14ac:dyDescent="0.25">
      <c r="A20" s="315" t="s">
        <v>408</v>
      </c>
      <c r="B20" s="315"/>
      <c r="C20" s="315"/>
      <c r="D20" s="315"/>
      <c r="E20" s="315"/>
      <c r="F20" s="315"/>
      <c r="G20" s="315"/>
      <c r="H20" s="315"/>
      <c r="I20" s="315"/>
      <c r="J20" s="315"/>
      <c r="K20" s="315"/>
      <c r="L20" s="315"/>
      <c r="M20" s="315"/>
      <c r="N20" s="315"/>
      <c r="O20" s="315"/>
      <c r="P20" s="315"/>
      <c r="Q20" s="315"/>
      <c r="R20" s="315"/>
      <c r="S20" s="315"/>
      <c r="T20"/>
      <c r="U20"/>
      <c r="V20"/>
      <c r="W20"/>
    </row>
    <row r="21" spans="1:23" ht="15" x14ac:dyDescent="0.25">
      <c r="A21" s="190" t="s">
        <v>188</v>
      </c>
      <c r="B21" s="191">
        <v>2005</v>
      </c>
      <c r="C21" s="191">
        <v>2006</v>
      </c>
      <c r="D21" s="191">
        <v>2007</v>
      </c>
      <c r="E21" s="191">
        <v>2008</v>
      </c>
      <c r="F21" s="191">
        <v>2009</v>
      </c>
      <c r="G21" s="191">
        <v>2010</v>
      </c>
      <c r="H21" s="191">
        <v>2011</v>
      </c>
      <c r="I21" s="191">
        <v>2012</v>
      </c>
      <c r="J21" s="191">
        <v>2013</v>
      </c>
      <c r="K21" s="191">
        <v>2014</v>
      </c>
      <c r="L21" s="191">
        <v>2015</v>
      </c>
      <c r="M21" s="191">
        <v>2016</v>
      </c>
      <c r="N21" s="191">
        <v>2017</v>
      </c>
      <c r="O21" s="191">
        <v>2018</v>
      </c>
      <c r="P21" s="191">
        <v>2019</v>
      </c>
      <c r="Q21" s="191">
        <v>2020</v>
      </c>
      <c r="R21" s="191">
        <v>2021</v>
      </c>
      <c r="S21" s="191">
        <v>2022</v>
      </c>
      <c r="T21"/>
      <c r="U21"/>
      <c r="V21"/>
      <c r="W21"/>
    </row>
    <row r="22" spans="1:23" ht="15" x14ac:dyDescent="0.25">
      <c r="A22" s="143" t="s">
        <v>232</v>
      </c>
      <c r="B22" s="171">
        <f>(B16-B16)/B16</f>
        <v>0</v>
      </c>
      <c r="C22" s="171">
        <f>(C16-B16)/B16</f>
        <v>-3.7128712871286338E-3</v>
      </c>
      <c r="D22" s="171">
        <f>(D16-B16)/B16</f>
        <v>2.2277227722772242E-2</v>
      </c>
      <c r="E22" s="171">
        <f>(E16-B16)/B16</f>
        <v>6.9306930693069368E-2</v>
      </c>
      <c r="F22" s="171">
        <f>(F16-B16)/B16</f>
        <v>8.0445544554455489E-2</v>
      </c>
      <c r="G22" s="171">
        <f>(G16-B16)/B16</f>
        <v>9.7772277227722665E-2</v>
      </c>
      <c r="H22" s="171">
        <f>(H16-B16)/B16</f>
        <v>0.10148514851485152</v>
      </c>
      <c r="I22" s="171">
        <f>(I16-B16)/B16</f>
        <v>0.11633663366336627</v>
      </c>
      <c r="J22" s="171">
        <f>(J16-B16)/B16</f>
        <v>0.11386138613861385</v>
      </c>
      <c r="K22" s="171">
        <f>(K16-B16)/B16</f>
        <v>0.11386138613861385</v>
      </c>
      <c r="L22" s="171">
        <f>(L16-B16)/B16</f>
        <v>0.12995049504950504</v>
      </c>
      <c r="M22" s="171">
        <f>(M16-B16)/B16</f>
        <v>0.17079207920792089</v>
      </c>
      <c r="N22" s="171">
        <f>(N16-B16)/B16</f>
        <v>0.219059405940594</v>
      </c>
      <c r="O22" s="171">
        <f>(O16-B16)/B16</f>
        <v>0.28712871287128716</v>
      </c>
      <c r="P22" s="171">
        <f>(P16-B16)/B16</f>
        <v>0.3477722772277228</v>
      </c>
      <c r="Q22" s="171">
        <f>(Q16-B16)/B16</f>
        <v>0.39851485148514859</v>
      </c>
      <c r="R22" s="171">
        <f>(R16-B16)/B16</f>
        <v>0.39851485148514859</v>
      </c>
      <c r="S22" s="171">
        <f>(S16-B16)/B16</f>
        <v>0.54084158415841577</v>
      </c>
      <c r="T22"/>
      <c r="U22"/>
      <c r="V22"/>
      <c r="W22"/>
    </row>
    <row r="23" spans="1:23" ht="15" x14ac:dyDescent="0.25">
      <c r="A23" s="143" t="s">
        <v>228</v>
      </c>
      <c r="B23" s="171">
        <f>(B17-B17)/B17</f>
        <v>0</v>
      </c>
      <c r="C23" s="171">
        <f>(C17-B17)/B17</f>
        <v>2.4484536082474279E-2</v>
      </c>
      <c r="D23" s="171">
        <f>(D17-B17)/B17</f>
        <v>6.0567010309278434E-2</v>
      </c>
      <c r="E23" s="171">
        <f>(E17-B17)/B17</f>
        <v>9.7938144329896878E-2</v>
      </c>
      <c r="F23" s="171">
        <f>(F17-B17)/B17</f>
        <v>0.12371134020618568</v>
      </c>
      <c r="G23" s="171">
        <f>(G17-B17)/B17</f>
        <v>0.143041237113402</v>
      </c>
      <c r="H23" s="171">
        <f>(H17-B17)/B17</f>
        <v>0.15850515463917531</v>
      </c>
      <c r="I23" s="171">
        <f>(I17-B17)/B17</f>
        <v>0.17010309278350519</v>
      </c>
      <c r="J23" s="171">
        <f>(J17-B17)/B17</f>
        <v>0.18041237113402067</v>
      </c>
      <c r="K23" s="171">
        <f>(K17-B17)/B17</f>
        <v>0.19458762886597936</v>
      </c>
      <c r="L23" s="171">
        <f>(L17-B17)/B17</f>
        <v>0.22938144329896901</v>
      </c>
      <c r="M23" s="171">
        <f>(M17-B17)/B17</f>
        <v>0.27835051546391754</v>
      </c>
      <c r="N23" s="171">
        <f>(N17-B17)/B17</f>
        <v>0.34149484536082481</v>
      </c>
      <c r="O23" s="171">
        <f>(O17-B17)/B17</f>
        <v>0.39819587628865977</v>
      </c>
      <c r="P23" s="171">
        <f>(P17-B17)/B17</f>
        <v>0.46649484536082486</v>
      </c>
      <c r="Q23" s="171">
        <f>(Q17-B17)/B17</f>
        <v>0.51675257731958757</v>
      </c>
      <c r="R23" s="171">
        <f>(R17-B17)/B17</f>
        <v>0.62757731958762897</v>
      </c>
      <c r="S23" s="171">
        <f>(S17-B17)/B17</f>
        <v>0.66752577319587625</v>
      </c>
      <c r="T23"/>
      <c r="U23"/>
      <c r="V23"/>
      <c r="W23"/>
    </row>
  </sheetData>
  <mergeCells count="5">
    <mergeCell ref="A1:AB1"/>
    <mergeCell ref="A3:W3"/>
    <mergeCell ref="A9:W9"/>
    <mergeCell ref="A14:S14"/>
    <mergeCell ref="A20:S20"/>
  </mergeCells>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AE9ED-3002-49B0-934E-0EDBE8498326}">
  <sheetPr>
    <tabColor rgb="FF5E82A3"/>
  </sheetPr>
  <dimension ref="A1:AI18"/>
  <sheetViews>
    <sheetView zoomScaleNormal="100" workbookViewId="0">
      <selection activeCell="C8" sqref="C8"/>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409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365</v>
      </c>
      <c r="B4" s="320"/>
      <c r="C4" s="320"/>
      <c r="D4" s="320"/>
    </row>
    <row r="5" spans="1:27" ht="15" x14ac:dyDescent="0.25">
      <c r="A5" s="321" t="s">
        <v>211</v>
      </c>
      <c r="B5" s="322"/>
      <c r="C5" s="321" t="s">
        <v>212</v>
      </c>
      <c r="D5" s="321"/>
    </row>
    <row r="6" spans="1:27" x14ac:dyDescent="0.2">
      <c r="A6" s="154" t="s">
        <v>213</v>
      </c>
      <c r="B6" s="155" t="s">
        <v>194</v>
      </c>
      <c r="C6" s="154" t="s">
        <v>213</v>
      </c>
      <c r="D6" s="156" t="s">
        <v>194</v>
      </c>
    </row>
    <row r="7" spans="1:27" x14ac:dyDescent="0.2">
      <c r="A7" s="1" t="s">
        <v>224</v>
      </c>
      <c r="B7" s="157">
        <f>2915/22282</f>
        <v>0.13082308589893188</v>
      </c>
      <c r="C7" s="1" t="s">
        <v>224</v>
      </c>
      <c r="D7" s="158">
        <f>3312/22282</f>
        <v>0.14864015797504712</v>
      </c>
    </row>
    <row r="8" spans="1:27" x14ac:dyDescent="0.2">
      <c r="A8" s="1" t="s">
        <v>217</v>
      </c>
      <c r="B8" s="157">
        <f>1978/22282</f>
        <v>8.8771205457319813E-2</v>
      </c>
      <c r="C8" s="1" t="s">
        <v>217</v>
      </c>
      <c r="D8" s="158">
        <f>3004/22282</f>
        <v>0.13481734135176376</v>
      </c>
    </row>
    <row r="9" spans="1:27" x14ac:dyDescent="0.2">
      <c r="A9" s="1" t="s">
        <v>410</v>
      </c>
      <c r="B9" s="157">
        <f>1970/22282</f>
        <v>8.8412171259312444E-2</v>
      </c>
      <c r="C9" s="1" t="s">
        <v>222</v>
      </c>
      <c r="D9" s="158">
        <f>2642/22282</f>
        <v>0.11857104389193071</v>
      </c>
    </row>
    <row r="10" spans="1:27" x14ac:dyDescent="0.2">
      <c r="A10" s="1" t="s">
        <v>411</v>
      </c>
      <c r="B10" s="157">
        <f>1914/22282</f>
        <v>8.5898931873260934E-2</v>
      </c>
      <c r="C10" s="1" t="s">
        <v>411</v>
      </c>
      <c r="D10" s="158">
        <f>2501/22282</f>
        <v>0.11224306615205099</v>
      </c>
    </row>
    <row r="11" spans="1:27" x14ac:dyDescent="0.2">
      <c r="A11" s="1" t="s">
        <v>412</v>
      </c>
      <c r="B11" s="157">
        <f>1816/22282</f>
        <v>8.1500762947670766E-2</v>
      </c>
      <c r="C11" s="1" t="s">
        <v>410</v>
      </c>
      <c r="D11" s="158">
        <f>2156/22282</f>
        <v>9.6759716362983569E-2</v>
      </c>
    </row>
    <row r="12" spans="1:27" x14ac:dyDescent="0.2">
      <c r="A12" s="1" t="s">
        <v>222</v>
      </c>
      <c r="B12" s="157">
        <f>1779/22282</f>
        <v>7.9840229781886721E-2</v>
      </c>
      <c r="C12" s="1" t="s">
        <v>223</v>
      </c>
      <c r="D12" s="158">
        <f>2140/22282</f>
        <v>9.604164796696886E-2</v>
      </c>
    </row>
    <row r="13" spans="1:27" x14ac:dyDescent="0.2">
      <c r="A13" s="1" t="s">
        <v>413</v>
      </c>
      <c r="B13" s="157">
        <f>1506/22282</f>
        <v>6.7588187774885553E-2</v>
      </c>
      <c r="C13" s="1" t="s">
        <v>214</v>
      </c>
      <c r="D13" s="158">
        <f>1702/22282</f>
        <v>7.6384525626065888E-2</v>
      </c>
    </row>
    <row r="14" spans="1:27" x14ac:dyDescent="0.2">
      <c r="A14" s="1" t="s">
        <v>214</v>
      </c>
      <c r="B14" s="157">
        <f>1461/22282</f>
        <v>6.5568620411094153E-2</v>
      </c>
      <c r="C14" s="1" t="s">
        <v>414</v>
      </c>
      <c r="D14" s="158">
        <f>1606/22282</f>
        <v>7.2076115249977563E-2</v>
      </c>
    </row>
    <row r="15" spans="1:27" x14ac:dyDescent="0.2">
      <c r="A15" s="1" t="s">
        <v>223</v>
      </c>
      <c r="B15" s="157">
        <f>1424/22282</f>
        <v>6.3908087245310122E-2</v>
      </c>
      <c r="C15" s="1" t="s">
        <v>412</v>
      </c>
      <c r="D15" s="158">
        <f>1577/22282</f>
        <v>7.0774616282200886E-2</v>
      </c>
    </row>
    <row r="16" spans="1:27" x14ac:dyDescent="0.2">
      <c r="A16" s="1" t="s">
        <v>415</v>
      </c>
      <c r="B16" s="157">
        <f>1314/22282</f>
        <v>5.8971367022708915E-2</v>
      </c>
      <c r="C16" s="1" t="s">
        <v>218</v>
      </c>
      <c r="D16" s="158">
        <f>1541/22282</f>
        <v>6.9158962391167755E-2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F424-F4B5-4309-A545-F6CE0851EED5}">
  <sheetPr>
    <tabColor rgb="FF5E82A3"/>
  </sheetPr>
  <dimension ref="A1:AI79"/>
  <sheetViews>
    <sheetView zoomScaleNormal="100" workbookViewId="0">
      <selection activeCell="C8" sqref="C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416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4" t="s">
        <v>417</v>
      </c>
      <c r="B3" s="194"/>
      <c r="C3" s="194"/>
      <c r="D3" s="194"/>
      <c r="F3" s="320" t="s">
        <v>418</v>
      </c>
      <c r="G3" s="320"/>
      <c r="H3" s="320"/>
    </row>
    <row r="4" spans="1:27" ht="28.5" x14ac:dyDescent="0.2">
      <c r="A4" s="192" t="s">
        <v>236</v>
      </c>
      <c r="B4" s="192" t="s">
        <v>237</v>
      </c>
      <c r="C4" s="193" t="s">
        <v>238</v>
      </c>
      <c r="D4" s="1"/>
      <c r="F4" s="192" t="s">
        <v>239</v>
      </c>
      <c r="G4" s="193" t="s">
        <v>240</v>
      </c>
      <c r="H4" s="37" t="s">
        <v>241</v>
      </c>
      <c r="O4" s="1"/>
    </row>
    <row r="5" spans="1:27" x14ac:dyDescent="0.2">
      <c r="A5" s="160">
        <v>43313</v>
      </c>
      <c r="B5" s="159">
        <v>2981</v>
      </c>
      <c r="C5" s="82">
        <v>12.49</v>
      </c>
      <c r="D5" s="1"/>
      <c r="F5" s="1" t="s">
        <v>419</v>
      </c>
      <c r="G5" s="159">
        <v>871</v>
      </c>
      <c r="H5" s="206" t="s">
        <v>420</v>
      </c>
      <c r="O5" s="1"/>
    </row>
    <row r="6" spans="1:27" x14ac:dyDescent="0.2">
      <c r="A6" s="160">
        <v>43344</v>
      </c>
      <c r="B6" s="159">
        <v>3031</v>
      </c>
      <c r="C6" s="82">
        <v>13.48</v>
      </c>
      <c r="D6" s="1"/>
      <c r="F6" s="1" t="s">
        <v>421</v>
      </c>
      <c r="G6" s="159">
        <v>386</v>
      </c>
      <c r="H6" s="206" t="s">
        <v>381</v>
      </c>
      <c r="O6" s="1"/>
    </row>
    <row r="7" spans="1:27" x14ac:dyDescent="0.2">
      <c r="A7" s="160">
        <v>43374</v>
      </c>
      <c r="B7" s="159">
        <v>2480</v>
      </c>
      <c r="C7" s="82">
        <v>13.97</v>
      </c>
      <c r="D7" s="1"/>
      <c r="F7" s="1" t="s">
        <v>255</v>
      </c>
      <c r="G7" s="159">
        <v>178</v>
      </c>
      <c r="H7" s="206" t="s">
        <v>245</v>
      </c>
      <c r="O7" s="1"/>
    </row>
    <row r="8" spans="1:27" x14ac:dyDescent="0.2">
      <c r="A8" s="160">
        <v>43405</v>
      </c>
      <c r="B8" s="159">
        <v>1917</v>
      </c>
      <c r="C8" s="82">
        <v>13.72</v>
      </c>
      <c r="D8" s="1"/>
      <c r="F8" s="1" t="s">
        <v>422</v>
      </c>
      <c r="G8" s="159">
        <v>177</v>
      </c>
      <c r="H8" s="206" t="s">
        <v>377</v>
      </c>
      <c r="O8" s="1"/>
    </row>
    <row r="9" spans="1:27" x14ac:dyDescent="0.2">
      <c r="A9" s="160">
        <v>43435</v>
      </c>
      <c r="B9" s="159">
        <v>1678</v>
      </c>
      <c r="C9" s="82">
        <v>13.48</v>
      </c>
      <c r="D9" s="1"/>
      <c r="F9" s="1" t="s">
        <v>423</v>
      </c>
      <c r="G9" s="159">
        <v>115</v>
      </c>
      <c r="H9" s="206" t="s">
        <v>249</v>
      </c>
      <c r="O9" s="1"/>
    </row>
    <row r="10" spans="1:27" x14ac:dyDescent="0.2">
      <c r="A10" s="160">
        <v>43466</v>
      </c>
      <c r="B10" s="159">
        <v>1652</v>
      </c>
      <c r="C10" s="82">
        <v>12.62</v>
      </c>
      <c r="D10" s="1"/>
      <c r="F10" s="1" t="s">
        <v>424</v>
      </c>
      <c r="G10" s="159">
        <v>111</v>
      </c>
      <c r="H10" s="206" t="s">
        <v>425</v>
      </c>
      <c r="O10" s="1"/>
    </row>
    <row r="11" spans="1:27" x14ac:dyDescent="0.2">
      <c r="A11" s="160">
        <v>43497</v>
      </c>
      <c r="B11" s="159">
        <v>1652</v>
      </c>
      <c r="C11" s="82">
        <v>12.49</v>
      </c>
      <c r="D11" s="1"/>
      <c r="F11" s="1" t="s">
        <v>242</v>
      </c>
      <c r="G11" s="159">
        <v>106</v>
      </c>
      <c r="H11" s="206" t="s">
        <v>243</v>
      </c>
      <c r="O11" s="1"/>
    </row>
    <row r="12" spans="1:27" x14ac:dyDescent="0.2">
      <c r="A12" s="160">
        <v>43525</v>
      </c>
      <c r="B12" s="159">
        <v>1998</v>
      </c>
      <c r="C12" s="82">
        <v>12.49</v>
      </c>
      <c r="D12" s="1"/>
      <c r="F12" s="1" t="s">
        <v>379</v>
      </c>
      <c r="G12" s="159">
        <v>100</v>
      </c>
      <c r="H12" s="206" t="s">
        <v>243</v>
      </c>
      <c r="O12" s="1"/>
    </row>
    <row r="13" spans="1:27" x14ac:dyDescent="0.2">
      <c r="A13" s="160">
        <v>43556</v>
      </c>
      <c r="B13" s="159">
        <v>1667</v>
      </c>
      <c r="C13" s="82">
        <v>12.49</v>
      </c>
      <c r="D13" s="1"/>
      <c r="F13" s="1" t="s">
        <v>426</v>
      </c>
      <c r="G13" s="159">
        <v>85</v>
      </c>
      <c r="H13" s="206" t="s">
        <v>427</v>
      </c>
      <c r="O13" s="1"/>
    </row>
    <row r="14" spans="1:27" x14ac:dyDescent="0.2">
      <c r="A14" s="160">
        <v>43586</v>
      </c>
      <c r="B14" s="159">
        <v>1443</v>
      </c>
      <c r="C14" s="82">
        <v>12.49</v>
      </c>
      <c r="D14" s="1"/>
      <c r="F14" s="1" t="s">
        <v>373</v>
      </c>
      <c r="G14" s="159">
        <v>85</v>
      </c>
      <c r="H14" s="206" t="s">
        <v>375</v>
      </c>
      <c r="O14" s="1"/>
    </row>
    <row r="15" spans="1:27" x14ac:dyDescent="0.2">
      <c r="A15" s="160">
        <v>43617</v>
      </c>
      <c r="B15" s="159">
        <v>1092</v>
      </c>
      <c r="C15" s="82">
        <v>12.49</v>
      </c>
      <c r="D15" s="1"/>
      <c r="O15" s="1"/>
    </row>
    <row r="16" spans="1:27" x14ac:dyDescent="0.2">
      <c r="A16" s="160">
        <v>43647</v>
      </c>
      <c r="B16" s="159">
        <v>912</v>
      </c>
      <c r="C16" s="82">
        <v>12.49</v>
      </c>
      <c r="D16" s="1"/>
      <c r="O16" s="1"/>
    </row>
    <row r="17" spans="1:15" x14ac:dyDescent="0.2">
      <c r="A17" s="160">
        <v>43678</v>
      </c>
      <c r="B17" s="159">
        <v>1082</v>
      </c>
      <c r="C17" s="82">
        <v>12.49</v>
      </c>
      <c r="D17" s="1"/>
      <c r="O17" s="1"/>
    </row>
    <row r="18" spans="1:15" x14ac:dyDescent="0.2">
      <c r="A18" s="160">
        <v>43709</v>
      </c>
      <c r="B18" s="159">
        <v>1161</v>
      </c>
      <c r="C18" s="82">
        <v>12.49</v>
      </c>
      <c r="D18" s="1"/>
      <c r="I18" s="39"/>
      <c r="O18" s="1"/>
    </row>
    <row r="19" spans="1:15" x14ac:dyDescent="0.2">
      <c r="A19" s="160">
        <v>43739</v>
      </c>
      <c r="B19" s="159">
        <v>1185</v>
      </c>
      <c r="C19" s="82">
        <v>12.49</v>
      </c>
      <c r="D19" s="1"/>
      <c r="I19" s="39"/>
      <c r="O19" s="1"/>
    </row>
    <row r="20" spans="1:15" x14ac:dyDescent="0.2">
      <c r="A20" s="160">
        <v>43770</v>
      </c>
      <c r="B20" s="159">
        <v>1050</v>
      </c>
      <c r="C20" s="82">
        <v>12.49</v>
      </c>
      <c r="D20" s="1"/>
      <c r="I20" s="39"/>
      <c r="O20" s="1"/>
    </row>
    <row r="21" spans="1:15" x14ac:dyDescent="0.2">
      <c r="A21" s="160">
        <v>43800</v>
      </c>
      <c r="B21" s="159">
        <v>1109</v>
      </c>
      <c r="C21" s="82">
        <v>12.49</v>
      </c>
      <c r="D21" s="1"/>
      <c r="I21" s="39"/>
      <c r="O21" s="1"/>
    </row>
    <row r="22" spans="1:15" x14ac:dyDescent="0.2">
      <c r="A22" s="160">
        <v>43831</v>
      </c>
      <c r="B22" s="159">
        <v>1117</v>
      </c>
      <c r="C22" s="82">
        <v>12.49</v>
      </c>
      <c r="D22" s="1"/>
      <c r="I22" s="39"/>
      <c r="O22" s="1"/>
    </row>
    <row r="23" spans="1:15" x14ac:dyDescent="0.2">
      <c r="A23" s="160">
        <v>43862</v>
      </c>
      <c r="B23" s="159">
        <v>1061</v>
      </c>
      <c r="C23" s="82">
        <v>12.49</v>
      </c>
      <c r="D23" s="1"/>
      <c r="O23" s="1"/>
    </row>
    <row r="24" spans="1:15" x14ac:dyDescent="0.2">
      <c r="A24" s="160">
        <v>43891</v>
      </c>
      <c r="B24" s="159">
        <v>1084</v>
      </c>
      <c r="C24" s="82">
        <v>12</v>
      </c>
      <c r="D24" s="1"/>
      <c r="O24" s="1"/>
    </row>
    <row r="25" spans="1:15" x14ac:dyDescent="0.2">
      <c r="A25" s="160">
        <v>43922</v>
      </c>
      <c r="B25" s="159">
        <v>927</v>
      </c>
      <c r="C25" s="82">
        <v>12</v>
      </c>
      <c r="D25" s="1"/>
      <c r="O25" s="1"/>
    </row>
    <row r="26" spans="1:15" x14ac:dyDescent="0.2">
      <c r="A26" s="160">
        <v>43952</v>
      </c>
      <c r="B26" s="159">
        <v>802</v>
      </c>
      <c r="C26" s="82">
        <v>12</v>
      </c>
      <c r="D26" s="1"/>
      <c r="O26" s="1"/>
    </row>
    <row r="27" spans="1:15" x14ac:dyDescent="0.2">
      <c r="A27" s="160">
        <v>43983</v>
      </c>
      <c r="B27" s="159">
        <v>856</v>
      </c>
      <c r="C27" s="82">
        <v>12.06</v>
      </c>
      <c r="D27" s="1"/>
      <c r="O27" s="1"/>
    </row>
    <row r="28" spans="1:15" x14ac:dyDescent="0.2">
      <c r="A28" s="160">
        <v>44013</v>
      </c>
      <c r="B28" s="159">
        <v>705</v>
      </c>
      <c r="C28" s="82">
        <v>12.49</v>
      </c>
      <c r="D28" s="1"/>
      <c r="O28" s="1"/>
    </row>
    <row r="29" spans="1:15" x14ac:dyDescent="0.2">
      <c r="A29" s="160">
        <v>44044</v>
      </c>
      <c r="B29" s="159">
        <v>1039</v>
      </c>
      <c r="C29" s="82">
        <v>12.49</v>
      </c>
      <c r="D29" s="1"/>
      <c r="O29" s="1"/>
    </row>
    <row r="30" spans="1:15" x14ac:dyDescent="0.2">
      <c r="A30" s="160">
        <v>44075</v>
      </c>
      <c r="B30" s="159">
        <v>1130</v>
      </c>
      <c r="C30" s="82">
        <v>12.49</v>
      </c>
      <c r="D30" s="1"/>
      <c r="O30" s="1"/>
    </row>
    <row r="31" spans="1:15" x14ac:dyDescent="0.2">
      <c r="A31" s="160">
        <v>44105</v>
      </c>
      <c r="B31" s="159">
        <v>1234</v>
      </c>
      <c r="C31" s="82">
        <v>12.49</v>
      </c>
      <c r="D31" s="1"/>
      <c r="O31" s="1"/>
    </row>
    <row r="32" spans="1:15" x14ac:dyDescent="0.2">
      <c r="A32" s="160">
        <v>44136</v>
      </c>
      <c r="B32" s="159">
        <v>988</v>
      </c>
      <c r="C32" s="82">
        <v>12.49</v>
      </c>
      <c r="D32" s="1"/>
      <c r="O32" s="1"/>
    </row>
    <row r="33" spans="1:15" x14ac:dyDescent="0.2">
      <c r="A33" s="160">
        <v>44166</v>
      </c>
      <c r="B33" s="159">
        <v>815</v>
      </c>
      <c r="C33" s="82">
        <v>12.49</v>
      </c>
      <c r="D33" s="1"/>
      <c r="O33" s="1"/>
    </row>
    <row r="34" spans="1:15" x14ac:dyDescent="0.2">
      <c r="A34" s="160">
        <v>44197</v>
      </c>
      <c r="B34" s="159">
        <v>777</v>
      </c>
      <c r="C34" s="82">
        <v>12.98</v>
      </c>
      <c r="D34" s="1"/>
      <c r="O34" s="1"/>
    </row>
    <row r="35" spans="1:15" x14ac:dyDescent="0.2">
      <c r="A35" s="160">
        <v>44228</v>
      </c>
      <c r="B35" s="159">
        <v>782</v>
      </c>
      <c r="C35" s="82">
        <v>12.98</v>
      </c>
      <c r="D35" s="1"/>
      <c r="O35" s="1"/>
    </row>
    <row r="36" spans="1:15" x14ac:dyDescent="0.2">
      <c r="A36" s="160">
        <v>44256</v>
      </c>
      <c r="B36" s="159">
        <v>1031</v>
      </c>
      <c r="C36" s="82">
        <v>12.98</v>
      </c>
      <c r="D36" s="1"/>
      <c r="O36" s="1"/>
    </row>
    <row r="37" spans="1:15" x14ac:dyDescent="0.2">
      <c r="A37" s="160">
        <v>44287</v>
      </c>
      <c r="B37" s="159">
        <v>1181</v>
      </c>
      <c r="C37" s="82">
        <v>13.23</v>
      </c>
      <c r="D37" s="1"/>
      <c r="O37" s="1"/>
    </row>
    <row r="38" spans="1:15" x14ac:dyDescent="0.2">
      <c r="A38" s="160">
        <v>44317</v>
      </c>
      <c r="B38" s="159">
        <v>1339</v>
      </c>
      <c r="C38" s="82">
        <v>13.48</v>
      </c>
      <c r="D38" s="1"/>
      <c r="O38" s="1"/>
    </row>
    <row r="39" spans="1:15" x14ac:dyDescent="0.2">
      <c r="A39" s="160">
        <v>44348</v>
      </c>
      <c r="B39" s="159">
        <v>1239</v>
      </c>
      <c r="C39" s="82">
        <v>13.48</v>
      </c>
      <c r="D39" s="1"/>
      <c r="O39" s="1"/>
    </row>
    <row r="40" spans="1:15" x14ac:dyDescent="0.2">
      <c r="A40" s="160">
        <v>44378</v>
      </c>
      <c r="B40" s="159">
        <v>1090</v>
      </c>
      <c r="C40" s="82">
        <v>12.62</v>
      </c>
      <c r="D40" s="1"/>
      <c r="O40" s="1"/>
    </row>
    <row r="41" spans="1:15" x14ac:dyDescent="0.2">
      <c r="A41" s="160">
        <v>44409</v>
      </c>
      <c r="B41" s="159">
        <v>922</v>
      </c>
      <c r="C41" s="82">
        <v>12.49</v>
      </c>
      <c r="D41" s="1"/>
      <c r="O41" s="1"/>
    </row>
    <row r="42" spans="1:15" x14ac:dyDescent="0.2">
      <c r="A42" s="160">
        <v>44440</v>
      </c>
      <c r="B42" s="159">
        <v>873</v>
      </c>
      <c r="C42" s="82">
        <v>12.49</v>
      </c>
      <c r="D42" s="1"/>
      <c r="O42" s="1"/>
    </row>
    <row r="43" spans="1:15" x14ac:dyDescent="0.2">
      <c r="A43" s="160">
        <v>44470</v>
      </c>
      <c r="B43" s="159">
        <v>835</v>
      </c>
      <c r="C43" s="82">
        <v>12.8</v>
      </c>
      <c r="D43" s="1"/>
      <c r="O43" s="1"/>
    </row>
    <row r="44" spans="1:15" x14ac:dyDescent="0.2">
      <c r="A44" s="160">
        <v>44501</v>
      </c>
      <c r="B44" s="159">
        <v>770</v>
      </c>
      <c r="C44" s="82">
        <v>12.98</v>
      </c>
      <c r="D44" s="1"/>
      <c r="O44" s="1"/>
    </row>
    <row r="45" spans="1:15" x14ac:dyDescent="0.2">
      <c r="A45" s="160">
        <v>44531</v>
      </c>
      <c r="B45" s="159">
        <v>603</v>
      </c>
      <c r="C45" s="82">
        <v>13.05</v>
      </c>
      <c r="D45" s="1"/>
      <c r="O45" s="1"/>
    </row>
    <row r="46" spans="1:15" x14ac:dyDescent="0.2">
      <c r="A46" s="160">
        <v>44562</v>
      </c>
      <c r="B46" s="159">
        <v>577</v>
      </c>
      <c r="C46" s="82">
        <v>13.23</v>
      </c>
      <c r="D46" s="1"/>
      <c r="O46" s="1"/>
    </row>
    <row r="47" spans="1:15" x14ac:dyDescent="0.2">
      <c r="A47" s="160">
        <v>44593</v>
      </c>
      <c r="B47" s="159">
        <v>758</v>
      </c>
      <c r="C47" s="82">
        <v>13.35</v>
      </c>
      <c r="D47" s="1"/>
      <c r="O47" s="1"/>
    </row>
    <row r="48" spans="1:15" x14ac:dyDescent="0.2">
      <c r="A48" s="160">
        <v>44621</v>
      </c>
      <c r="B48" s="159">
        <v>850</v>
      </c>
      <c r="C48" s="82">
        <v>13.78</v>
      </c>
      <c r="D48" s="1"/>
      <c r="O48" s="1"/>
    </row>
    <row r="49" spans="1:15" x14ac:dyDescent="0.2">
      <c r="A49" s="160">
        <v>44652</v>
      </c>
      <c r="B49" s="159">
        <v>944</v>
      </c>
      <c r="C49" s="82">
        <v>13.97</v>
      </c>
      <c r="D49" s="1"/>
      <c r="O49" s="1"/>
    </row>
    <row r="50" spans="1:15" x14ac:dyDescent="0.2">
      <c r="A50" s="160">
        <v>44682</v>
      </c>
      <c r="B50" s="159">
        <v>1076</v>
      </c>
      <c r="C50" s="82">
        <v>14.46</v>
      </c>
      <c r="D50" s="1"/>
      <c r="O50" s="1"/>
    </row>
    <row r="51" spans="1:15" x14ac:dyDescent="0.2">
      <c r="A51" s="160">
        <v>44713</v>
      </c>
      <c r="B51" s="159">
        <v>938</v>
      </c>
      <c r="C51" s="82">
        <v>15.45</v>
      </c>
      <c r="D51" s="1"/>
      <c r="O51" s="1"/>
    </row>
    <row r="52" spans="1:15" x14ac:dyDescent="0.2">
      <c r="A52" s="160">
        <v>44743</v>
      </c>
      <c r="B52" s="159">
        <v>796</v>
      </c>
      <c r="C52" s="82">
        <v>14.95</v>
      </c>
      <c r="D52" s="1"/>
      <c r="O52" s="1"/>
    </row>
    <row r="53" spans="1:15" x14ac:dyDescent="0.2">
      <c r="A53" s="160">
        <v>44774</v>
      </c>
      <c r="B53" s="159">
        <v>794</v>
      </c>
      <c r="C53" s="82">
        <v>13.97</v>
      </c>
      <c r="D53" s="1"/>
      <c r="O53" s="1"/>
    </row>
    <row r="54" spans="1:15" x14ac:dyDescent="0.2">
      <c r="A54" s="160">
        <v>44805</v>
      </c>
      <c r="B54" s="159">
        <v>774</v>
      </c>
      <c r="C54" s="82">
        <v>13.48</v>
      </c>
      <c r="D54" s="1"/>
      <c r="O54" s="1"/>
    </row>
    <row r="55" spans="1:15" x14ac:dyDescent="0.2">
      <c r="A55" s="160">
        <v>44835</v>
      </c>
      <c r="B55" s="159">
        <v>718</v>
      </c>
      <c r="C55" s="82">
        <v>13.91</v>
      </c>
      <c r="D55" s="1"/>
      <c r="O55" s="1"/>
    </row>
    <row r="56" spans="1:15" x14ac:dyDescent="0.2">
      <c r="A56" s="160">
        <v>44866</v>
      </c>
      <c r="B56" s="159">
        <v>830</v>
      </c>
      <c r="C56" s="82">
        <v>13.97</v>
      </c>
      <c r="D56" s="161"/>
      <c r="O56" s="1"/>
    </row>
    <row r="57" spans="1:15" x14ac:dyDescent="0.2">
      <c r="A57" s="160">
        <v>44896</v>
      </c>
      <c r="B57" s="159">
        <v>633</v>
      </c>
      <c r="C57" s="82">
        <v>13.72</v>
      </c>
      <c r="D57" s="1"/>
      <c r="O57" s="1"/>
    </row>
    <row r="58" spans="1:15" x14ac:dyDescent="0.2">
      <c r="A58" s="160">
        <v>44927</v>
      </c>
      <c r="B58" s="159">
        <v>688</v>
      </c>
      <c r="C58" s="82">
        <v>13.48</v>
      </c>
      <c r="D58" s="1"/>
      <c r="O58" s="1"/>
    </row>
    <row r="59" spans="1:15" x14ac:dyDescent="0.2">
      <c r="A59" s="160">
        <v>44958</v>
      </c>
      <c r="B59" s="159">
        <v>576</v>
      </c>
      <c r="C59" s="82">
        <v>13.97</v>
      </c>
      <c r="D59" s="1"/>
      <c r="O59" s="1"/>
    </row>
    <row r="60" spans="1:15" x14ac:dyDescent="0.2">
      <c r="A60" s="160">
        <v>44986</v>
      </c>
      <c r="B60" s="159">
        <v>927</v>
      </c>
      <c r="C60" s="82">
        <v>13.91</v>
      </c>
      <c r="D60" s="1"/>
      <c r="O60" s="1"/>
    </row>
    <row r="61" spans="1:15" x14ac:dyDescent="0.2">
      <c r="A61" s="160">
        <v>45017</v>
      </c>
      <c r="B61" s="159">
        <v>1017</v>
      </c>
      <c r="C61" s="82">
        <v>13.97</v>
      </c>
      <c r="D61" s="1"/>
      <c r="O61" s="1"/>
    </row>
    <row r="62" spans="1:15" x14ac:dyDescent="0.2">
      <c r="A62" s="160">
        <v>45047</v>
      </c>
      <c r="B62" s="159">
        <v>747</v>
      </c>
      <c r="C62" s="82">
        <v>13.97</v>
      </c>
      <c r="D62" s="1"/>
      <c r="O62" s="1"/>
    </row>
    <row r="63" spans="1:15" x14ac:dyDescent="0.2">
      <c r="A63" s="160">
        <v>45078</v>
      </c>
      <c r="B63" s="159">
        <v>547</v>
      </c>
      <c r="C63" s="82">
        <v>14.22</v>
      </c>
      <c r="D63" s="1"/>
      <c r="O63" s="1"/>
    </row>
    <row r="64" spans="1:15" x14ac:dyDescent="0.2">
      <c r="A64" s="160">
        <v>45108</v>
      </c>
      <c r="B64" s="159">
        <v>545</v>
      </c>
      <c r="C64" s="82">
        <v>14.22</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99473-0187-4AC9-B9F2-98DCE3F13EB4}">
  <sheetPr>
    <tabColor rgb="FF5E82A3"/>
  </sheetPr>
  <dimension ref="A1:AG85"/>
  <sheetViews>
    <sheetView zoomScaleNormal="100" workbookViewId="0">
      <selection activeCell="C8" sqref="C8"/>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9.140625" style="39" bestFit="1"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428</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25" ht="15" x14ac:dyDescent="0.25">
      <c r="A3" s="320" t="s">
        <v>429</v>
      </c>
      <c r="B3" s="320"/>
      <c r="C3" s="320"/>
      <c r="D3" s="320"/>
      <c r="E3" s="194"/>
    </row>
    <row r="4" spans="1:25" x14ac:dyDescent="0.2">
      <c r="A4" s="192" t="s">
        <v>262</v>
      </c>
      <c r="B4" s="192" t="s">
        <v>159</v>
      </c>
      <c r="C4" s="193" t="s">
        <v>263</v>
      </c>
      <c r="D4" s="193" t="s">
        <v>264</v>
      </c>
      <c r="E4" s="1"/>
      <c r="M4" s="1"/>
    </row>
    <row r="5" spans="1:25" x14ac:dyDescent="0.2">
      <c r="A5" s="196" t="s">
        <v>268</v>
      </c>
      <c r="B5" s="159">
        <v>4065.50933721</v>
      </c>
      <c r="C5" s="195">
        <v>5005.9128042299999</v>
      </c>
      <c r="D5" s="195">
        <v>940.40346701600004</v>
      </c>
      <c r="E5" s="1"/>
      <c r="M5" s="1"/>
    </row>
    <row r="6" spans="1:25" x14ac:dyDescent="0.2">
      <c r="A6" s="196" t="s">
        <v>267</v>
      </c>
      <c r="B6" s="159">
        <v>1430.68774177</v>
      </c>
      <c r="C6" s="195">
        <v>2101.4046520100001</v>
      </c>
      <c r="D6" s="195">
        <v>670.71691023400001</v>
      </c>
      <c r="E6" s="1"/>
      <c r="M6" s="1"/>
    </row>
    <row r="7" spans="1:25" x14ac:dyDescent="0.2">
      <c r="A7" s="196" t="s">
        <v>266</v>
      </c>
      <c r="B7" s="159">
        <v>2623.9492032100002</v>
      </c>
      <c r="C7" s="195">
        <v>3236.8030641700002</v>
      </c>
      <c r="D7" s="195">
        <v>612.853860962</v>
      </c>
      <c r="E7" s="1"/>
      <c r="M7" s="1"/>
    </row>
    <row r="8" spans="1:25" x14ac:dyDescent="0.2">
      <c r="A8" s="196" t="s">
        <v>269</v>
      </c>
      <c r="B8" s="159">
        <v>1004.54799559</v>
      </c>
      <c r="C8" s="195">
        <v>1133.8369385799999</v>
      </c>
      <c r="D8" s="195">
        <v>129.28894298700001</v>
      </c>
      <c r="E8" s="1"/>
      <c r="M8" s="1"/>
    </row>
    <row r="9" spans="1:25" x14ac:dyDescent="0.2">
      <c r="A9" s="196" t="s">
        <v>276</v>
      </c>
      <c r="B9" s="159">
        <v>545.46529299199995</v>
      </c>
      <c r="C9" s="195">
        <v>607.69180408600005</v>
      </c>
      <c r="D9" s="195">
        <v>62.226511094499998</v>
      </c>
      <c r="E9" s="1"/>
      <c r="M9" s="1"/>
    </row>
    <row r="10" spans="1:25" x14ac:dyDescent="0.2">
      <c r="A10" s="196" t="s">
        <v>312</v>
      </c>
      <c r="B10" s="159">
        <v>919.81020419699996</v>
      </c>
      <c r="C10" s="195">
        <v>965.89080007099994</v>
      </c>
      <c r="D10" s="195">
        <v>46.0805958734</v>
      </c>
      <c r="E10" s="1"/>
      <c r="M10" s="1"/>
    </row>
    <row r="11" spans="1:25" x14ac:dyDescent="0.2">
      <c r="A11" s="196" t="s">
        <v>265</v>
      </c>
      <c r="B11" s="159">
        <v>5834.3191710900001</v>
      </c>
      <c r="C11" s="195">
        <v>5867.6805185900002</v>
      </c>
      <c r="D11" s="195">
        <v>33.361347500199997</v>
      </c>
      <c r="E11" s="1"/>
      <c r="M11" s="1"/>
    </row>
    <row r="12" spans="1:25" x14ac:dyDescent="0.2">
      <c r="A12" s="196" t="s">
        <v>315</v>
      </c>
      <c r="B12" s="159">
        <v>150.64134157199999</v>
      </c>
      <c r="C12" s="195">
        <v>167.56260428600001</v>
      </c>
      <c r="D12" s="195">
        <v>16.921262713800001</v>
      </c>
      <c r="E12" s="1"/>
      <c r="M12" s="1"/>
    </row>
    <row r="13" spans="1:25" x14ac:dyDescent="0.2">
      <c r="A13" s="196" t="s">
        <v>273</v>
      </c>
      <c r="B13" s="159">
        <v>43.1332840253</v>
      </c>
      <c r="C13" s="195">
        <v>54.739561219499997</v>
      </c>
      <c r="D13" s="195">
        <v>11.6062771942</v>
      </c>
      <c r="E13" s="1"/>
      <c r="M13" s="1"/>
    </row>
    <row r="14" spans="1:25" x14ac:dyDescent="0.2">
      <c r="A14" s="196" t="s">
        <v>307</v>
      </c>
      <c r="B14" s="159">
        <v>370.53674215299998</v>
      </c>
      <c r="C14" s="195">
        <v>381.97702227399998</v>
      </c>
      <c r="D14" s="195">
        <v>11.440280120900001</v>
      </c>
      <c r="E14" s="1"/>
      <c r="M14" s="1"/>
    </row>
    <row r="15" spans="1:25" x14ac:dyDescent="0.2">
      <c r="A15" s="196" t="s">
        <v>298</v>
      </c>
      <c r="B15" s="159">
        <v>284.41593351</v>
      </c>
      <c r="C15" s="195">
        <v>290.77672865699998</v>
      </c>
      <c r="D15" s="195">
        <v>6.3607951478700002</v>
      </c>
      <c r="E15" s="1"/>
      <c r="M15" s="1"/>
    </row>
    <row r="16" spans="1:25" x14ac:dyDescent="0.2">
      <c r="A16" s="196" t="s">
        <v>319</v>
      </c>
      <c r="B16" s="159">
        <v>118.781220533</v>
      </c>
      <c r="C16" s="195">
        <v>122.346018968</v>
      </c>
      <c r="D16" s="195">
        <v>3.5647984344800001</v>
      </c>
      <c r="E16" s="1"/>
      <c r="M16" s="1"/>
    </row>
    <row r="17" spans="1:13" x14ac:dyDescent="0.2">
      <c r="A17" s="196" t="s">
        <v>274</v>
      </c>
      <c r="B17" s="159">
        <v>65.820116098100002</v>
      </c>
      <c r="C17" s="195">
        <v>68.590854560400004</v>
      </c>
      <c r="D17" s="195">
        <v>2.7707384622600002</v>
      </c>
      <c r="E17" s="1"/>
      <c r="M17" s="1"/>
    </row>
    <row r="18" spans="1:13" x14ac:dyDescent="0.2">
      <c r="A18" s="196" t="s">
        <v>309</v>
      </c>
      <c r="B18" s="159">
        <v>215.01693209499999</v>
      </c>
      <c r="C18" s="195">
        <v>213.99716001100001</v>
      </c>
      <c r="D18" s="195">
        <v>-1.0197720833699999</v>
      </c>
      <c r="E18" s="1"/>
      <c r="G18" s="39"/>
      <c r="M18" s="1"/>
    </row>
    <row r="19" spans="1:13" x14ac:dyDescent="0.2">
      <c r="A19" s="196" t="s">
        <v>288</v>
      </c>
      <c r="B19" s="159">
        <v>42.035642291899997</v>
      </c>
      <c r="C19" s="195">
        <v>40.881280410000002</v>
      </c>
      <c r="D19" s="195">
        <v>-1.1543618819100001</v>
      </c>
      <c r="E19" s="1"/>
      <c r="G19" s="39"/>
      <c r="M19" s="1"/>
    </row>
    <row r="20" spans="1:13" x14ac:dyDescent="0.2">
      <c r="A20" s="196" t="s">
        <v>283</v>
      </c>
      <c r="B20" s="159">
        <v>29.6976566353</v>
      </c>
      <c r="C20" s="195">
        <v>27.0564392703</v>
      </c>
      <c r="D20" s="195">
        <v>-2.6412173649800001</v>
      </c>
      <c r="E20" s="1"/>
      <c r="G20" s="39"/>
      <c r="M20" s="1"/>
    </row>
    <row r="21" spans="1:13" x14ac:dyDescent="0.2">
      <c r="A21" s="196" t="s">
        <v>285</v>
      </c>
      <c r="B21" s="159">
        <v>18.223563989100001</v>
      </c>
      <c r="C21" s="195">
        <v>13.737106988800001</v>
      </c>
      <c r="D21" s="195">
        <v>-4.4864570002899997</v>
      </c>
      <c r="E21" s="1"/>
      <c r="M21" s="1"/>
    </row>
    <row r="22" spans="1:13" x14ac:dyDescent="0.2">
      <c r="A22" s="196" t="s">
        <v>280</v>
      </c>
      <c r="B22" s="159">
        <v>62.042339596700003</v>
      </c>
      <c r="C22" s="195">
        <v>57.068918706799998</v>
      </c>
      <c r="D22" s="195">
        <v>-4.9734208898399999</v>
      </c>
      <c r="E22" s="1"/>
      <c r="M22" s="1"/>
    </row>
    <row r="23" spans="1:13" x14ac:dyDescent="0.2">
      <c r="A23" s="196" t="s">
        <v>304</v>
      </c>
      <c r="B23" s="159">
        <v>40.258356556400003</v>
      </c>
      <c r="C23" s="195">
        <v>34.920348459899998</v>
      </c>
      <c r="D23" s="195">
        <v>-5.3380080964900003</v>
      </c>
      <c r="E23" s="1"/>
      <c r="M23" s="1"/>
    </row>
    <row r="24" spans="1:13" x14ac:dyDescent="0.2">
      <c r="A24" s="196" t="s">
        <v>318</v>
      </c>
      <c r="B24" s="159">
        <v>160.00215064899999</v>
      </c>
      <c r="C24" s="195">
        <v>154.17654667900001</v>
      </c>
      <c r="D24" s="195">
        <v>-5.8256039693400004</v>
      </c>
      <c r="E24" s="1"/>
      <c r="M24" s="1"/>
    </row>
    <row r="25" spans="1:13" x14ac:dyDescent="0.2">
      <c r="A25" s="196" t="s">
        <v>301</v>
      </c>
      <c r="B25" s="159">
        <v>124.437205549</v>
      </c>
      <c r="C25" s="195">
        <v>118.237968717</v>
      </c>
      <c r="D25" s="195">
        <v>-6.1992368318000004</v>
      </c>
      <c r="E25" s="1"/>
      <c r="M25" s="1"/>
    </row>
    <row r="26" spans="1:13" x14ac:dyDescent="0.2">
      <c r="A26" s="196" t="s">
        <v>290</v>
      </c>
      <c r="B26" s="159">
        <v>21.668813783699999</v>
      </c>
      <c r="C26" s="195">
        <v>14.785210381800001</v>
      </c>
      <c r="D26" s="195">
        <v>-6.8836034018900003</v>
      </c>
      <c r="E26" s="1"/>
      <c r="M26" s="1"/>
    </row>
    <row r="27" spans="1:13" x14ac:dyDescent="0.2">
      <c r="A27" s="196" t="s">
        <v>293</v>
      </c>
      <c r="B27" s="159">
        <v>18.478361769599999</v>
      </c>
      <c r="C27" s="195">
        <v>10.3700591085</v>
      </c>
      <c r="D27" s="195">
        <v>-8.1083026611199998</v>
      </c>
      <c r="E27" s="1"/>
      <c r="M27" s="1"/>
    </row>
    <row r="28" spans="1:13" x14ac:dyDescent="0.2">
      <c r="A28" s="196" t="s">
        <v>291</v>
      </c>
      <c r="B28" s="159">
        <v>25.561212596800001</v>
      </c>
      <c r="C28" s="195">
        <v>17.299760903599999</v>
      </c>
      <c r="D28" s="195">
        <v>-8.2614516931399997</v>
      </c>
      <c r="E28" s="1"/>
      <c r="M28" s="1"/>
    </row>
    <row r="29" spans="1:13" x14ac:dyDescent="0.2">
      <c r="A29" s="196" t="s">
        <v>271</v>
      </c>
      <c r="B29" s="159">
        <v>89.937921726499994</v>
      </c>
      <c r="C29" s="195">
        <v>81.617962284900003</v>
      </c>
      <c r="D29" s="195">
        <v>-8.31995944166</v>
      </c>
      <c r="E29" s="1"/>
      <c r="M29" s="1"/>
    </row>
    <row r="30" spans="1:13" x14ac:dyDescent="0.2">
      <c r="A30" s="196" t="s">
        <v>294</v>
      </c>
      <c r="B30" s="159">
        <v>69.141519873099995</v>
      </c>
      <c r="C30" s="195">
        <v>60.752411539100002</v>
      </c>
      <c r="D30" s="195">
        <v>-8.3891083339700003</v>
      </c>
      <c r="E30" s="1"/>
      <c r="M30" s="1"/>
    </row>
    <row r="31" spans="1:13" x14ac:dyDescent="0.2">
      <c r="A31" s="196" t="s">
        <v>289</v>
      </c>
      <c r="B31" s="159">
        <v>70.9079740878</v>
      </c>
      <c r="C31" s="195">
        <v>61.9380525547</v>
      </c>
      <c r="D31" s="195">
        <v>-8.9699215330400008</v>
      </c>
      <c r="E31" s="1"/>
      <c r="M31" s="1"/>
    </row>
    <row r="32" spans="1:13" x14ac:dyDescent="0.2">
      <c r="A32" s="196" t="s">
        <v>430</v>
      </c>
      <c r="B32" s="159">
        <v>38.0060202023</v>
      </c>
      <c r="C32" s="195">
        <v>27.646390290500001</v>
      </c>
      <c r="D32" s="195">
        <v>-10.359629911800001</v>
      </c>
      <c r="E32" s="1"/>
      <c r="M32" s="1"/>
    </row>
    <row r="33" spans="1:13" x14ac:dyDescent="0.2">
      <c r="A33" s="196" t="s">
        <v>281</v>
      </c>
      <c r="B33" s="159">
        <v>22.754561698700002</v>
      </c>
      <c r="C33" s="195">
        <v>11.8790855136</v>
      </c>
      <c r="D33" s="195">
        <v>-10.8754761851</v>
      </c>
      <c r="E33" s="1"/>
      <c r="M33" s="1"/>
    </row>
    <row r="34" spans="1:13" x14ac:dyDescent="0.2">
      <c r="A34" s="196" t="s">
        <v>287</v>
      </c>
      <c r="B34" s="159">
        <v>95.860915894800002</v>
      </c>
      <c r="C34" s="195">
        <v>83.530599738999996</v>
      </c>
      <c r="D34" s="195">
        <v>-12.3303161558</v>
      </c>
      <c r="E34" s="1"/>
      <c r="M34" s="1"/>
    </row>
    <row r="35" spans="1:13" x14ac:dyDescent="0.2">
      <c r="A35" s="196" t="s">
        <v>279</v>
      </c>
      <c r="B35" s="159">
        <v>89.7751239965</v>
      </c>
      <c r="C35" s="195">
        <v>77.352924846299999</v>
      </c>
      <c r="D35" s="195">
        <v>-12.422199150200001</v>
      </c>
      <c r="E35" s="1"/>
      <c r="M35" s="1"/>
    </row>
    <row r="36" spans="1:13" x14ac:dyDescent="0.2">
      <c r="A36" s="196" t="s">
        <v>302</v>
      </c>
      <c r="B36" s="159">
        <v>40.011077030700001</v>
      </c>
      <c r="C36" s="195">
        <v>26.092411339400002</v>
      </c>
      <c r="D36" s="195">
        <v>-13.918665691299999</v>
      </c>
      <c r="E36" s="1"/>
      <c r="M36" s="1"/>
    </row>
    <row r="37" spans="1:13" x14ac:dyDescent="0.2">
      <c r="A37" s="196" t="s">
        <v>272</v>
      </c>
      <c r="B37" s="159">
        <v>82.545153204399995</v>
      </c>
      <c r="C37" s="195">
        <v>68.594699084799998</v>
      </c>
      <c r="D37" s="195">
        <v>-13.9504541196</v>
      </c>
      <c r="E37" s="1"/>
      <c r="M37" s="1"/>
    </row>
    <row r="38" spans="1:13" x14ac:dyDescent="0.2">
      <c r="A38" s="196" t="s">
        <v>300</v>
      </c>
      <c r="B38" s="159">
        <v>24.6702427247</v>
      </c>
      <c r="C38" s="195">
        <v>10.4318153358</v>
      </c>
      <c r="D38" s="195">
        <v>-14.2384273889</v>
      </c>
      <c r="E38" s="1"/>
      <c r="M38" s="1"/>
    </row>
    <row r="39" spans="1:13" x14ac:dyDescent="0.2">
      <c r="A39" s="196" t="s">
        <v>299</v>
      </c>
      <c r="B39" s="159">
        <v>106.632688773</v>
      </c>
      <c r="C39" s="195">
        <v>92.252847825800004</v>
      </c>
      <c r="D39" s="195">
        <v>-14.3798409474</v>
      </c>
      <c r="E39" s="1"/>
      <c r="M39" s="1"/>
    </row>
    <row r="40" spans="1:13" x14ac:dyDescent="0.2">
      <c r="A40" s="196" t="s">
        <v>297</v>
      </c>
      <c r="B40" s="159">
        <v>49.072477302400003</v>
      </c>
      <c r="C40" s="195">
        <v>33.525615044399999</v>
      </c>
      <c r="D40" s="195">
        <v>-15.546862258000001</v>
      </c>
      <c r="E40" s="1"/>
      <c r="M40" s="1"/>
    </row>
    <row r="41" spans="1:13" x14ac:dyDescent="0.2">
      <c r="A41" s="196" t="s">
        <v>311</v>
      </c>
      <c r="B41" s="159">
        <v>71.046819019699996</v>
      </c>
      <c r="C41" s="195">
        <v>55.174274999600001</v>
      </c>
      <c r="D41" s="195">
        <v>-15.872544020099999</v>
      </c>
      <c r="E41" s="1"/>
      <c r="M41" s="1"/>
    </row>
    <row r="42" spans="1:13" x14ac:dyDescent="0.2">
      <c r="A42" s="196" t="s">
        <v>296</v>
      </c>
      <c r="B42" s="159">
        <v>61.2995559867</v>
      </c>
      <c r="C42" s="195">
        <v>42.897889526</v>
      </c>
      <c r="D42" s="195">
        <v>-18.4016664607</v>
      </c>
      <c r="E42" s="1"/>
      <c r="M42" s="1"/>
    </row>
    <row r="43" spans="1:13" x14ac:dyDescent="0.2">
      <c r="A43" s="196" t="s">
        <v>310</v>
      </c>
      <c r="B43" s="159">
        <v>42.368985316</v>
      </c>
      <c r="C43" s="195">
        <v>23.579222427800001</v>
      </c>
      <c r="D43" s="195">
        <v>-18.789762888199999</v>
      </c>
      <c r="E43" s="1"/>
      <c r="M43" s="1"/>
    </row>
    <row r="44" spans="1:13" x14ac:dyDescent="0.2">
      <c r="A44" s="196" t="s">
        <v>431</v>
      </c>
      <c r="B44" s="159">
        <v>45.980291682500003</v>
      </c>
      <c r="C44" s="195">
        <v>26.1815835566</v>
      </c>
      <c r="D44" s="195">
        <v>-19.798708126000001</v>
      </c>
      <c r="E44" s="1"/>
      <c r="M44" s="1"/>
    </row>
    <row r="45" spans="1:13" x14ac:dyDescent="0.2">
      <c r="A45" s="196" t="s">
        <v>282</v>
      </c>
      <c r="B45" s="159">
        <v>92.315519881399993</v>
      </c>
      <c r="C45" s="195">
        <v>72.353266381599994</v>
      </c>
      <c r="D45" s="195">
        <v>-19.962253499799999</v>
      </c>
      <c r="E45" s="1"/>
      <c r="M45" s="1"/>
    </row>
    <row r="46" spans="1:13" x14ac:dyDescent="0.2">
      <c r="A46" s="196" t="s">
        <v>270</v>
      </c>
      <c r="B46" s="159">
        <v>113.654611743</v>
      </c>
      <c r="C46" s="195">
        <v>92.805863900600002</v>
      </c>
      <c r="D46" s="195">
        <v>-20.8487478423</v>
      </c>
      <c r="E46" s="1"/>
      <c r="M46" s="1"/>
    </row>
    <row r="47" spans="1:13" x14ac:dyDescent="0.2">
      <c r="A47" s="196" t="s">
        <v>277</v>
      </c>
      <c r="B47" s="159">
        <v>73.272116119800003</v>
      </c>
      <c r="C47" s="195">
        <v>52.3227620308</v>
      </c>
      <c r="D47" s="195">
        <v>-20.949354089</v>
      </c>
      <c r="E47" s="1"/>
      <c r="M47" s="1"/>
    </row>
    <row r="48" spans="1:13" x14ac:dyDescent="0.2">
      <c r="A48" s="196" t="s">
        <v>314</v>
      </c>
      <c r="B48" s="159">
        <v>58.0416891713</v>
      </c>
      <c r="C48" s="195">
        <v>37.002217433600002</v>
      </c>
      <c r="D48" s="195">
        <v>-21.039471737700001</v>
      </c>
      <c r="E48" s="1"/>
      <c r="M48" s="1"/>
    </row>
    <row r="49" spans="1:13" x14ac:dyDescent="0.2">
      <c r="A49" s="196" t="s">
        <v>322</v>
      </c>
      <c r="B49" s="159">
        <v>73.785467343299999</v>
      </c>
      <c r="C49" s="195">
        <v>52.346285528000003</v>
      </c>
      <c r="D49" s="195">
        <v>-21.439181815200001</v>
      </c>
      <c r="E49" s="1"/>
      <c r="M49" s="1"/>
    </row>
    <row r="50" spans="1:13" x14ac:dyDescent="0.2">
      <c r="A50" s="196" t="s">
        <v>313</v>
      </c>
      <c r="B50" s="159">
        <v>50.206278288999997</v>
      </c>
      <c r="C50" s="195">
        <v>28.375239827800002</v>
      </c>
      <c r="D50" s="195">
        <v>-21.831038461199999</v>
      </c>
      <c r="E50" s="1"/>
      <c r="M50" s="1"/>
    </row>
    <row r="51" spans="1:13" x14ac:dyDescent="0.2">
      <c r="A51" s="196" t="s">
        <v>305</v>
      </c>
      <c r="B51" s="159">
        <v>81.342140522099996</v>
      </c>
      <c r="C51" s="195">
        <v>57.7556559804</v>
      </c>
      <c r="D51" s="195">
        <v>-23.586484541699999</v>
      </c>
      <c r="E51" s="1"/>
      <c r="M51" s="1"/>
    </row>
    <row r="52" spans="1:13" x14ac:dyDescent="0.2">
      <c r="A52" s="196" t="s">
        <v>286</v>
      </c>
      <c r="B52" s="159">
        <v>68.917654938400005</v>
      </c>
      <c r="C52" s="195">
        <v>43.720775028799999</v>
      </c>
      <c r="D52" s="195">
        <v>-25.1968799096</v>
      </c>
      <c r="E52" s="1"/>
      <c r="M52" s="1"/>
    </row>
    <row r="53" spans="1:13" x14ac:dyDescent="0.2">
      <c r="A53" s="196" t="s">
        <v>323</v>
      </c>
      <c r="B53" s="159">
        <v>86.680683411399997</v>
      </c>
      <c r="C53" s="195">
        <v>61.229352516500001</v>
      </c>
      <c r="D53" s="195">
        <v>-25.4513308949</v>
      </c>
      <c r="E53" s="1"/>
      <c r="M53" s="1"/>
    </row>
    <row r="54" spans="1:13" x14ac:dyDescent="0.2">
      <c r="A54" s="196" t="s">
        <v>328</v>
      </c>
      <c r="B54" s="159">
        <v>358.920059702</v>
      </c>
      <c r="C54" s="195">
        <v>330.98996087400002</v>
      </c>
      <c r="D54" s="195">
        <v>-27.930098828399998</v>
      </c>
      <c r="E54" s="161"/>
      <c r="M54" s="1"/>
    </row>
    <row r="55" spans="1:13" x14ac:dyDescent="0.2">
      <c r="A55" s="196" t="s">
        <v>292</v>
      </c>
      <c r="B55" s="159">
        <v>142.090083483</v>
      </c>
      <c r="C55" s="195">
        <v>110.345002558</v>
      </c>
      <c r="D55" s="195">
        <v>-31.745080925300002</v>
      </c>
      <c r="E55" s="1"/>
      <c r="M55" s="1"/>
    </row>
    <row r="56" spans="1:13" x14ac:dyDescent="0.2">
      <c r="A56" s="196" t="s">
        <v>308</v>
      </c>
      <c r="B56" s="159">
        <v>54.278742147300001</v>
      </c>
      <c r="C56" s="195">
        <v>22.292775991300001</v>
      </c>
      <c r="D56" s="195">
        <v>-31.985966156100002</v>
      </c>
      <c r="E56" s="1"/>
      <c r="M56" s="1"/>
    </row>
    <row r="57" spans="1:13" x14ac:dyDescent="0.2">
      <c r="A57" s="196" t="s">
        <v>325</v>
      </c>
      <c r="B57" s="159">
        <v>152.92044684300001</v>
      </c>
      <c r="C57" s="195">
        <v>118.17810311700001</v>
      </c>
      <c r="D57" s="195">
        <v>-34.7423437259</v>
      </c>
      <c r="E57" s="1"/>
      <c r="M57" s="1"/>
    </row>
    <row r="58" spans="1:13" x14ac:dyDescent="0.2">
      <c r="A58" s="196" t="s">
        <v>275</v>
      </c>
      <c r="B58" s="159">
        <v>373.79823736600002</v>
      </c>
      <c r="C58" s="195">
        <v>338.86582950899998</v>
      </c>
      <c r="D58" s="195">
        <v>-34.932407857199998</v>
      </c>
      <c r="E58" s="1"/>
      <c r="M58" s="1"/>
    </row>
    <row r="59" spans="1:13" x14ac:dyDescent="0.2">
      <c r="A59" s="196" t="s">
        <v>320</v>
      </c>
      <c r="B59" s="159">
        <v>105.653188112</v>
      </c>
      <c r="C59" s="195">
        <v>69.359053596600006</v>
      </c>
      <c r="D59" s="195">
        <v>-36.294134515499998</v>
      </c>
      <c r="E59" s="1"/>
      <c r="M59" s="1"/>
    </row>
    <row r="60" spans="1:13" x14ac:dyDescent="0.2">
      <c r="A60" s="196" t="s">
        <v>278</v>
      </c>
      <c r="B60" s="159">
        <v>117.00363344</v>
      </c>
      <c r="C60" s="195">
        <v>79.866292970100005</v>
      </c>
      <c r="D60" s="195">
        <v>-37.1373404701</v>
      </c>
      <c r="E60" s="1"/>
      <c r="M60" s="1"/>
    </row>
    <row r="61" spans="1:13" x14ac:dyDescent="0.2">
      <c r="A61" s="196" t="s">
        <v>330</v>
      </c>
      <c r="B61" s="159">
        <v>586.07634744899997</v>
      </c>
      <c r="C61" s="195">
        <v>547.133923611</v>
      </c>
      <c r="D61" s="195">
        <v>-38.942423837600003</v>
      </c>
      <c r="E61" s="1"/>
      <c r="M61" s="1"/>
    </row>
    <row r="62" spans="1:13" x14ac:dyDescent="0.2">
      <c r="A62" s="196" t="s">
        <v>324</v>
      </c>
      <c r="B62" s="159">
        <v>76.390913412100005</v>
      </c>
      <c r="C62" s="195">
        <v>37.422841229399999</v>
      </c>
      <c r="D62" s="195">
        <v>-38.968072182699999</v>
      </c>
      <c r="E62" s="1"/>
      <c r="M62" s="1"/>
    </row>
    <row r="63" spans="1:13" x14ac:dyDescent="0.2">
      <c r="A63" s="196" t="s">
        <v>334</v>
      </c>
      <c r="B63" s="159">
        <v>201.481337795</v>
      </c>
      <c r="C63" s="195">
        <v>161.28930137099999</v>
      </c>
      <c r="D63" s="195">
        <v>-40.192036423300003</v>
      </c>
      <c r="E63" s="1"/>
      <c r="M63" s="1"/>
    </row>
    <row r="64" spans="1:13" x14ac:dyDescent="0.2">
      <c r="A64" s="164" t="s">
        <v>306</v>
      </c>
      <c r="B64" s="159">
        <v>587.35632452499999</v>
      </c>
      <c r="C64" s="159">
        <v>543.89806960700002</v>
      </c>
      <c r="D64" s="159">
        <v>-43.4582549183</v>
      </c>
      <c r="M64" s="1"/>
    </row>
    <row r="65" spans="1:13" x14ac:dyDescent="0.2">
      <c r="A65" s="164" t="s">
        <v>303</v>
      </c>
      <c r="B65" s="159">
        <v>156.925583733</v>
      </c>
      <c r="C65" s="159">
        <v>113.14016197799999</v>
      </c>
      <c r="D65" s="159">
        <v>-43.785421754799998</v>
      </c>
      <c r="M65" s="1"/>
    </row>
    <row r="66" spans="1:13" x14ac:dyDescent="0.2">
      <c r="A66" s="164" t="s">
        <v>336</v>
      </c>
      <c r="B66" s="159">
        <v>586.90817769600005</v>
      </c>
      <c r="C66" s="159">
        <v>541.95863357200005</v>
      </c>
      <c r="D66" s="159">
        <v>-44.949544124399999</v>
      </c>
      <c r="M66" s="1"/>
    </row>
    <row r="67" spans="1:13" x14ac:dyDescent="0.2">
      <c r="A67" s="164" t="s">
        <v>317</v>
      </c>
      <c r="B67" s="159">
        <v>94.006088326500006</v>
      </c>
      <c r="C67" s="159">
        <v>48.544097759499998</v>
      </c>
      <c r="D67" s="159">
        <v>-45.461990567000001</v>
      </c>
      <c r="M67" s="1"/>
    </row>
    <row r="68" spans="1:13" x14ac:dyDescent="0.2">
      <c r="A68" s="164" t="s">
        <v>295</v>
      </c>
      <c r="B68" s="159">
        <v>134.02167181499999</v>
      </c>
      <c r="C68" s="159">
        <v>82.640910910100004</v>
      </c>
      <c r="D68" s="159">
        <v>-51.380760905099997</v>
      </c>
      <c r="M68" s="1"/>
    </row>
    <row r="69" spans="1:13" x14ac:dyDescent="0.2">
      <c r="A69" s="164" t="s">
        <v>284</v>
      </c>
      <c r="B69" s="159">
        <v>277.72649586900002</v>
      </c>
      <c r="C69" s="159">
        <v>217.94726086700001</v>
      </c>
      <c r="D69" s="159">
        <v>-59.779235001799996</v>
      </c>
      <c r="M69" s="1"/>
    </row>
    <row r="70" spans="1:13" x14ac:dyDescent="0.2">
      <c r="A70" s="164" t="s">
        <v>327</v>
      </c>
      <c r="B70" s="159">
        <v>197.875511808</v>
      </c>
      <c r="C70" s="159">
        <v>134.29493370899999</v>
      </c>
      <c r="D70" s="159">
        <v>-63.580578098300002</v>
      </c>
      <c r="M70" s="1"/>
    </row>
    <row r="71" spans="1:13" x14ac:dyDescent="0.2">
      <c r="A71" s="164" t="s">
        <v>337</v>
      </c>
      <c r="B71" s="159">
        <v>264.52421096900002</v>
      </c>
      <c r="C71" s="159">
        <v>197.29582214600001</v>
      </c>
      <c r="D71" s="159">
        <v>-67.228388822699998</v>
      </c>
      <c r="M71" s="1"/>
    </row>
    <row r="72" spans="1:13" x14ac:dyDescent="0.2">
      <c r="A72" s="164" t="s">
        <v>326</v>
      </c>
      <c r="B72" s="159">
        <v>306.75174048999997</v>
      </c>
      <c r="C72" s="159">
        <v>233.89502317099999</v>
      </c>
      <c r="D72" s="159">
        <v>-72.856717319200001</v>
      </c>
      <c r="M72" s="1"/>
    </row>
    <row r="73" spans="1:13" x14ac:dyDescent="0.2">
      <c r="A73" s="164" t="s">
        <v>321</v>
      </c>
      <c r="B73" s="159">
        <v>181.046880942</v>
      </c>
      <c r="C73" s="159">
        <v>89.600439597499999</v>
      </c>
      <c r="D73" s="159">
        <v>-91.4464413444</v>
      </c>
      <c r="M73" s="1"/>
    </row>
    <row r="74" spans="1:13" x14ac:dyDescent="0.2">
      <c r="A74" s="164" t="s">
        <v>333</v>
      </c>
      <c r="B74" s="159">
        <v>509.325511146</v>
      </c>
      <c r="C74" s="159">
        <v>416.78716510100003</v>
      </c>
      <c r="D74" s="159">
        <v>-92.538346044700006</v>
      </c>
      <c r="M74" s="1"/>
    </row>
    <row r="75" spans="1:13" x14ac:dyDescent="0.2">
      <c r="A75" s="164" t="s">
        <v>331</v>
      </c>
      <c r="B75" s="159">
        <v>198.87402373699999</v>
      </c>
      <c r="C75" s="159">
        <v>102.127430492</v>
      </c>
      <c r="D75" s="159">
        <v>-96.746593244899998</v>
      </c>
      <c r="M75" s="1"/>
    </row>
    <row r="76" spans="1:13" x14ac:dyDescent="0.2">
      <c r="A76" s="164" t="s">
        <v>342</v>
      </c>
      <c r="B76" s="159">
        <v>1033.4555121000001</v>
      </c>
      <c r="C76" s="159">
        <v>932.76760059100002</v>
      </c>
      <c r="D76" s="159">
        <v>-100.68791150600001</v>
      </c>
      <c r="M76" s="1"/>
    </row>
    <row r="77" spans="1:13" x14ac:dyDescent="0.2">
      <c r="A77" s="164" t="s">
        <v>329</v>
      </c>
      <c r="B77" s="159">
        <v>266.53660095499998</v>
      </c>
      <c r="C77" s="159">
        <v>155.02787614799999</v>
      </c>
      <c r="D77" s="159">
        <v>-111.50872480699999</v>
      </c>
      <c r="M77" s="1"/>
    </row>
    <row r="78" spans="1:13" x14ac:dyDescent="0.2">
      <c r="A78" s="164" t="s">
        <v>332</v>
      </c>
      <c r="B78" s="159">
        <v>568.52196306099995</v>
      </c>
      <c r="C78" s="159">
        <v>456.52389425000001</v>
      </c>
      <c r="D78" s="159">
        <v>-111.99806881000001</v>
      </c>
    </row>
    <row r="79" spans="1:13" x14ac:dyDescent="0.2">
      <c r="A79" s="164" t="s">
        <v>335</v>
      </c>
      <c r="B79" s="159">
        <v>358.98682833200002</v>
      </c>
      <c r="C79" s="159">
        <v>241.54633225000001</v>
      </c>
      <c r="D79" s="159">
        <v>-117.440496082</v>
      </c>
    </row>
    <row r="80" spans="1:13" x14ac:dyDescent="0.2">
      <c r="A80" s="164" t="s">
        <v>338</v>
      </c>
      <c r="B80" s="159">
        <v>335.725298372</v>
      </c>
      <c r="C80" s="159">
        <v>211.67759009700001</v>
      </c>
      <c r="D80" s="159">
        <v>-124.04770827500001</v>
      </c>
    </row>
    <row r="81" spans="1:4" x14ac:dyDescent="0.2">
      <c r="A81" s="164" t="s">
        <v>316</v>
      </c>
      <c r="B81" s="159">
        <v>365.43818361799998</v>
      </c>
      <c r="C81" s="159">
        <v>234.62432213299999</v>
      </c>
      <c r="D81" s="159">
        <v>-130.81386148600001</v>
      </c>
    </row>
    <row r="82" spans="1:4" x14ac:dyDescent="0.2">
      <c r="A82" s="164" t="s">
        <v>340</v>
      </c>
      <c r="B82" s="159">
        <v>1422.80657107</v>
      </c>
      <c r="C82" s="159">
        <v>1263.7848027699999</v>
      </c>
      <c r="D82" s="159">
        <v>-159.02176830900001</v>
      </c>
    </row>
    <row r="83" spans="1:4" x14ac:dyDescent="0.2">
      <c r="A83" s="164" t="s">
        <v>339</v>
      </c>
      <c r="B83" s="159">
        <v>416.84851110199997</v>
      </c>
      <c r="C83" s="159">
        <v>230.112447573</v>
      </c>
      <c r="D83" s="159">
        <v>-186.73606352799999</v>
      </c>
    </row>
    <row r="84" spans="1:4" x14ac:dyDescent="0.2">
      <c r="A84" s="164" t="s">
        <v>341</v>
      </c>
      <c r="B84" s="159">
        <v>504.82713282399999</v>
      </c>
      <c r="C84" s="159">
        <v>282.34380886000002</v>
      </c>
      <c r="D84" s="159">
        <v>-222.48332396399999</v>
      </c>
    </row>
    <row r="85" spans="1:4" x14ac:dyDescent="0.2">
      <c r="A85" s="164" t="s">
        <v>343</v>
      </c>
      <c r="B85" s="159">
        <v>2569.1029435999999</v>
      </c>
      <c r="C85" s="159">
        <v>1932.8117954100001</v>
      </c>
      <c r="D85" s="159">
        <v>-636.29114819200004</v>
      </c>
    </row>
  </sheetData>
  <mergeCells count="2">
    <mergeCell ref="A1:Y1"/>
    <mergeCell ref="A3:D3"/>
  </mergeCells>
  <pageMargins left="0.7" right="0.7" top="0.75" bottom="0.75"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1E37D-84DF-4C6C-A583-309E1A5F822B}">
  <sheetPr>
    <tabColor rgb="FF605677"/>
  </sheetPr>
  <dimension ref="A1:AA50"/>
  <sheetViews>
    <sheetView zoomScaleNormal="100" workbookViewId="0">
      <selection activeCell="C8" sqref="C8"/>
    </sheetView>
  </sheetViews>
  <sheetFormatPr defaultColWidth="9.140625" defaultRowHeight="14.25" x14ac:dyDescent="0.2"/>
  <cols>
    <col min="1" max="1" width="32" style="1" customWidth="1"/>
    <col min="2" max="2" width="8.140625" style="1" customWidth="1"/>
    <col min="3" max="3" width="10.85546875" style="1" customWidth="1"/>
    <col min="4" max="4" width="7.28515625" style="39" bestFit="1" customWidth="1"/>
    <col min="5" max="5" width="10.42578125" style="1" customWidth="1"/>
    <col min="6" max="8" width="8.42578125" style="1" bestFit="1" customWidth="1"/>
    <col min="9" max="9" width="9.5703125" style="1" bestFit="1" customWidth="1"/>
    <col min="10" max="10" width="13.28515625" style="1" customWidth="1"/>
    <col min="11" max="11" width="9.28515625" style="1" customWidth="1"/>
    <col min="12" max="12" width="14.28515625" style="1" customWidth="1"/>
    <col min="13" max="13" width="9.42578125" style="1" bestFit="1" customWidth="1"/>
    <col min="14" max="14" width="9.85546875" style="1" customWidth="1"/>
    <col min="15" max="15" width="6.5703125" style="1" bestFit="1" customWidth="1"/>
    <col min="16" max="16" width="9.140625" style="40" bestFit="1" customWidth="1"/>
    <col min="17" max="18" width="6.5703125" style="1" bestFit="1" customWidth="1"/>
    <col min="19" max="19" width="9.140625" style="1" bestFit="1" customWidth="1"/>
    <col min="20" max="20" width="6.5703125" style="1" bestFit="1" customWidth="1"/>
    <col min="21" max="21" width="12.5703125" style="1" bestFit="1" customWidth="1"/>
    <col min="22" max="23" width="9.28515625" style="1" bestFit="1" customWidth="1"/>
    <col min="24" max="25" width="8.140625" style="1" bestFit="1" customWidth="1"/>
    <col min="26" max="27" width="9.425781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7" ht="23.25" x14ac:dyDescent="0.35">
      <c r="A1" s="262" t="s">
        <v>432</v>
      </c>
      <c r="B1" s="262"/>
      <c r="C1" s="262"/>
      <c r="D1" s="262"/>
      <c r="E1" s="262"/>
      <c r="F1" s="262"/>
      <c r="G1" s="262"/>
      <c r="H1" s="262"/>
      <c r="I1" s="262"/>
      <c r="J1" s="262"/>
      <c r="K1" s="262"/>
      <c r="L1" s="262"/>
      <c r="M1" s="262"/>
      <c r="N1" s="262"/>
      <c r="O1" s="262"/>
      <c r="P1" s="262"/>
      <c r="Q1" s="262"/>
      <c r="R1" s="262"/>
    </row>
    <row r="2" spans="1:27" ht="15" thickBot="1" x14ac:dyDescent="0.25">
      <c r="B2" s="38"/>
      <c r="C2" s="38"/>
      <c r="P2" s="1"/>
      <c r="Q2" s="40"/>
    </row>
    <row r="3" spans="1:27" ht="12.75" customHeight="1" thickBot="1" x14ac:dyDescent="0.25">
      <c r="A3" s="327" t="s">
        <v>29</v>
      </c>
      <c r="B3" s="330" t="s">
        <v>30</v>
      </c>
      <c r="C3" s="261"/>
      <c r="D3" s="297" t="s">
        <v>31</v>
      </c>
      <c r="E3" s="298"/>
      <c r="F3" s="216" t="s">
        <v>33</v>
      </c>
      <c r="G3" s="215" t="s">
        <v>33</v>
      </c>
      <c r="H3" s="215" t="s">
        <v>33</v>
      </c>
      <c r="I3" s="303" t="s">
        <v>33</v>
      </c>
      <c r="J3" s="303"/>
      <c r="K3" s="215" t="s">
        <v>34</v>
      </c>
      <c r="L3" s="215"/>
      <c r="M3" s="215" t="s">
        <v>35</v>
      </c>
      <c r="N3" s="215" t="s">
        <v>35</v>
      </c>
      <c r="O3" s="217" t="s">
        <v>35</v>
      </c>
      <c r="P3" s="1"/>
      <c r="Q3" s="40"/>
      <c r="V3" s="273" t="s">
        <v>388</v>
      </c>
      <c r="W3" s="273"/>
      <c r="X3" s="273"/>
      <c r="Y3" s="273"/>
      <c r="Z3" s="273"/>
      <c r="AA3" s="273"/>
    </row>
    <row r="4" spans="1:27" ht="14.45" customHeight="1" thickBot="1" x14ac:dyDescent="0.3">
      <c r="A4" s="328"/>
      <c r="B4" s="251" t="s">
        <v>37</v>
      </c>
      <c r="C4" s="323" t="s">
        <v>38</v>
      </c>
      <c r="D4" s="290" t="s">
        <v>37</v>
      </c>
      <c r="E4" s="292" t="s">
        <v>38</v>
      </c>
      <c r="F4" s="310" t="s">
        <v>39</v>
      </c>
      <c r="G4" s="308" t="s">
        <v>40</v>
      </c>
      <c r="H4" s="308" t="s">
        <v>41</v>
      </c>
      <c r="I4" s="304" t="s">
        <v>129</v>
      </c>
      <c r="J4" s="305"/>
      <c r="K4" s="304" t="s">
        <v>43</v>
      </c>
      <c r="L4" s="305"/>
      <c r="M4" s="312" t="s">
        <v>44</v>
      </c>
      <c r="N4" s="312" t="s">
        <v>45</v>
      </c>
      <c r="O4" s="325" t="s">
        <v>46</v>
      </c>
      <c r="P4" s="1"/>
      <c r="Q4" s="40"/>
      <c r="U4" s="1" t="s">
        <v>130</v>
      </c>
      <c r="V4" s="44" t="s">
        <v>131</v>
      </c>
      <c r="W4" s="44" t="s">
        <v>48</v>
      </c>
      <c r="X4" s="44" t="s">
        <v>50</v>
      </c>
      <c r="Y4" s="44" t="s">
        <v>132</v>
      </c>
      <c r="Z4" s="44" t="s">
        <v>133</v>
      </c>
      <c r="AA4" s="44" t="s">
        <v>134</v>
      </c>
    </row>
    <row r="5" spans="1:27" ht="26.25" customHeight="1" thickBot="1" x14ac:dyDescent="0.25">
      <c r="A5" s="329"/>
      <c r="B5" s="302"/>
      <c r="C5" s="324"/>
      <c r="D5" s="291"/>
      <c r="E5" s="293"/>
      <c r="F5" s="311"/>
      <c r="G5" s="309"/>
      <c r="H5" s="309"/>
      <c r="I5" s="45" t="s">
        <v>48</v>
      </c>
      <c r="J5" s="45" t="s">
        <v>49</v>
      </c>
      <c r="K5" s="212" t="s">
        <v>50</v>
      </c>
      <c r="L5" s="212" t="s">
        <v>51</v>
      </c>
      <c r="M5" s="313"/>
      <c r="N5" s="313"/>
      <c r="O5" s="326"/>
      <c r="P5" s="1"/>
      <c r="Q5" s="40"/>
      <c r="U5" s="1">
        <v>0</v>
      </c>
      <c r="V5" s="46">
        <f>H6</f>
        <v>20.40778663899275</v>
      </c>
      <c r="W5" s="46">
        <f>I6</f>
        <v>23.945133928571433</v>
      </c>
      <c r="X5" s="46">
        <f>K6</f>
        <v>26.339647321428579</v>
      </c>
      <c r="Y5" s="46">
        <f>M6</f>
        <v>28.97361205357144</v>
      </c>
      <c r="Z5" s="46" t="str">
        <f>N6</f>
        <v xml:space="preserve">- </v>
      </c>
      <c r="AA5" s="46" t="str">
        <f>O6</f>
        <v xml:space="preserve">- </v>
      </c>
    </row>
    <row r="6" spans="1:27" x14ac:dyDescent="0.2">
      <c r="A6" s="111" t="s">
        <v>58</v>
      </c>
      <c r="B6" s="112">
        <v>15.04</v>
      </c>
      <c r="C6" s="113">
        <v>31283.199999999997</v>
      </c>
      <c r="D6" s="59">
        <v>23.945133928571433</v>
      </c>
      <c r="E6" s="114">
        <v>49805.878571428584</v>
      </c>
      <c r="F6" s="59">
        <v>20.40778663899275</v>
      </c>
      <c r="G6" s="59">
        <v>20.40778663899275</v>
      </c>
      <c r="H6" s="59">
        <v>20.40778663899275</v>
      </c>
      <c r="I6" s="60">
        <v>23.945133928571433</v>
      </c>
      <c r="J6" s="116">
        <v>25.142390625000004</v>
      </c>
      <c r="K6" s="60">
        <v>26.339647321428579</v>
      </c>
      <c r="L6" s="60">
        <f>K6*1.05</f>
        <v>27.656629687500008</v>
      </c>
      <c r="M6" s="60">
        <v>28.97361205357144</v>
      </c>
      <c r="N6" s="60" t="s">
        <v>433</v>
      </c>
      <c r="O6" s="162" t="s">
        <v>433</v>
      </c>
      <c r="P6" s="1"/>
      <c r="U6" s="1">
        <v>1</v>
      </c>
      <c r="V6" s="46">
        <f t="shared" ref="V6:V25" si="0">V5*1.025</f>
        <v>20.917981304967569</v>
      </c>
      <c r="W6" s="46">
        <f t="shared" ref="W6:W25" si="1">W5*1.025</f>
        <v>24.543762276785717</v>
      </c>
      <c r="X6" s="46">
        <f t="shared" ref="X6:X25" si="2">X5*1.025</f>
        <v>26.99813850446429</v>
      </c>
      <c r="Y6" s="46">
        <f t="shared" ref="Y6:Y25" si="3">Y5*1.025</f>
        <v>29.697952354910722</v>
      </c>
      <c r="Z6" s="46" t="e">
        <f t="shared" ref="Z6:AA21" si="4">Z5+0.15</f>
        <v>#VALUE!</v>
      </c>
      <c r="AA6" s="46" t="e">
        <f t="shared" si="4"/>
        <v>#VALUE!</v>
      </c>
    </row>
    <row r="7" spans="1:27" x14ac:dyDescent="0.2">
      <c r="A7" s="286" t="s">
        <v>135</v>
      </c>
      <c r="B7" s="287"/>
      <c r="C7" s="287"/>
      <c r="D7" s="287"/>
      <c r="E7" s="287"/>
      <c r="F7" s="287"/>
      <c r="G7" s="287"/>
      <c r="H7" s="288"/>
      <c r="I7" s="55">
        <f>I6-H6</f>
        <v>3.5373472895786833</v>
      </c>
      <c r="J7" s="55">
        <f t="shared" ref="J7:M7" si="5">J6-I6</f>
        <v>1.1972566964285711</v>
      </c>
      <c r="K7" s="55">
        <f t="shared" si="5"/>
        <v>1.1972566964285747</v>
      </c>
      <c r="L7" s="55">
        <f>L6-K6</f>
        <v>1.3169823660714286</v>
      </c>
      <c r="M7" s="55">
        <f t="shared" si="5"/>
        <v>1.3169823660714322</v>
      </c>
      <c r="N7" s="55" t="s">
        <v>433</v>
      </c>
      <c r="O7" s="55" t="s">
        <v>433</v>
      </c>
      <c r="P7" s="1"/>
      <c r="U7" s="1">
        <v>2</v>
      </c>
      <c r="V7" s="46">
        <f t="shared" si="0"/>
        <v>21.440930837591758</v>
      </c>
      <c r="W7" s="46">
        <f t="shared" si="1"/>
        <v>25.157356333705359</v>
      </c>
      <c r="X7" s="46">
        <f t="shared" si="2"/>
        <v>27.673091967075894</v>
      </c>
      <c r="Y7" s="46">
        <f t="shared" si="3"/>
        <v>30.440401163783488</v>
      </c>
      <c r="Z7" s="46" t="e">
        <f t="shared" si="4"/>
        <v>#VALUE!</v>
      </c>
      <c r="AA7" s="46" t="e">
        <f t="shared" si="4"/>
        <v>#VALUE!</v>
      </c>
    </row>
    <row r="8" spans="1:27" x14ac:dyDescent="0.2">
      <c r="A8" s="56" t="s">
        <v>67</v>
      </c>
      <c r="B8" s="59">
        <v>15.04</v>
      </c>
      <c r="C8" s="114">
        <v>31283.199999999997</v>
      </c>
      <c r="D8" s="59">
        <v>21.768303571428575</v>
      </c>
      <c r="E8" s="114">
        <v>45278.071428571435</v>
      </c>
      <c r="F8" s="59">
        <v>18.552533308175224</v>
      </c>
      <c r="G8" s="60">
        <v>18.552533308175224</v>
      </c>
      <c r="H8" s="60">
        <v>18.552533308175224</v>
      </c>
      <c r="I8" s="61">
        <v>21.768303571428575</v>
      </c>
      <c r="J8" s="61">
        <v>22.856718750000006</v>
      </c>
      <c r="K8" s="61">
        <v>23.945133928571433</v>
      </c>
      <c r="L8" s="61">
        <f>K8*1.05</f>
        <v>25.142390625000004</v>
      </c>
      <c r="M8" s="61">
        <v>26.339647321428579</v>
      </c>
      <c r="N8" s="61" t="s">
        <v>433</v>
      </c>
      <c r="O8" s="62" t="s">
        <v>433</v>
      </c>
      <c r="P8" s="1"/>
      <c r="U8" s="1">
        <v>3</v>
      </c>
      <c r="V8" s="46">
        <f t="shared" si="0"/>
        <v>21.976954108531551</v>
      </c>
      <c r="W8" s="46">
        <f t="shared" si="1"/>
        <v>25.78629024204799</v>
      </c>
      <c r="X8" s="46">
        <f t="shared" si="2"/>
        <v>28.364919266252791</v>
      </c>
      <c r="Y8" s="46">
        <f t="shared" si="3"/>
        <v>31.201411192878073</v>
      </c>
      <c r="Z8" s="46" t="e">
        <f t="shared" si="4"/>
        <v>#VALUE!</v>
      </c>
      <c r="AA8" s="46" t="e">
        <f t="shared" si="4"/>
        <v>#VALUE!</v>
      </c>
    </row>
    <row r="9" spans="1:27" x14ac:dyDescent="0.2">
      <c r="A9" s="286" t="s">
        <v>135</v>
      </c>
      <c r="B9" s="287"/>
      <c r="C9" s="287"/>
      <c r="D9" s="287"/>
      <c r="E9" s="287"/>
      <c r="F9" s="287"/>
      <c r="G9" s="287"/>
      <c r="H9" s="288"/>
      <c r="I9" s="55">
        <f>I8-H8</f>
        <v>3.2157702632533507</v>
      </c>
      <c r="J9" s="55">
        <f t="shared" ref="J9:M9" si="6">J8-I8</f>
        <v>1.0884151785714309</v>
      </c>
      <c r="K9" s="55">
        <f t="shared" si="6"/>
        <v>1.0884151785714273</v>
      </c>
      <c r="L9" s="55">
        <f t="shared" si="6"/>
        <v>1.1972566964285711</v>
      </c>
      <c r="M9" s="55">
        <f t="shared" si="6"/>
        <v>1.1972566964285747</v>
      </c>
      <c r="N9" s="55" t="s">
        <v>433</v>
      </c>
      <c r="O9" s="55" t="s">
        <v>433</v>
      </c>
      <c r="P9" s="1"/>
      <c r="U9" s="1">
        <v>4</v>
      </c>
      <c r="V9" s="46">
        <f t="shared" si="0"/>
        <v>22.526377961244837</v>
      </c>
      <c r="W9" s="46">
        <f t="shared" si="1"/>
        <v>26.430947498099187</v>
      </c>
      <c r="X9" s="46">
        <f t="shared" si="2"/>
        <v>29.074042247909109</v>
      </c>
      <c r="Y9" s="46">
        <f t="shared" si="3"/>
        <v>31.981446472700021</v>
      </c>
      <c r="Z9" s="46" t="e">
        <f t="shared" si="4"/>
        <v>#VALUE!</v>
      </c>
      <c r="AA9" s="46" t="e">
        <f t="shared" si="4"/>
        <v>#VALUE!</v>
      </c>
    </row>
    <row r="10" spans="1:27" x14ac:dyDescent="0.2">
      <c r="P10" s="1"/>
      <c r="Q10" s="40"/>
      <c r="U10" s="1">
        <v>5</v>
      </c>
      <c r="V10" s="46">
        <f t="shared" si="0"/>
        <v>23.089537410275955</v>
      </c>
      <c r="W10" s="46">
        <f t="shared" si="1"/>
        <v>27.091721185551663</v>
      </c>
      <c r="X10" s="46">
        <f t="shared" si="2"/>
        <v>29.800893304106832</v>
      </c>
      <c r="Y10" s="46">
        <f t="shared" si="3"/>
        <v>32.780982634517521</v>
      </c>
      <c r="Z10" s="46" t="e">
        <f t="shared" si="4"/>
        <v>#VALUE!</v>
      </c>
      <c r="AA10" s="46" t="e">
        <f t="shared" si="4"/>
        <v>#VALUE!</v>
      </c>
    </row>
    <row r="11" spans="1:27" x14ac:dyDescent="0.2">
      <c r="P11" s="1"/>
      <c r="Q11" s="40"/>
      <c r="U11" s="1">
        <v>6</v>
      </c>
      <c r="V11" s="46">
        <f t="shared" si="0"/>
        <v>23.666775845532854</v>
      </c>
      <c r="W11" s="46">
        <f t="shared" si="1"/>
        <v>27.769014215190452</v>
      </c>
      <c r="X11" s="46">
        <f t="shared" si="2"/>
        <v>30.545915636709502</v>
      </c>
      <c r="Y11" s="46">
        <f t="shared" si="3"/>
        <v>33.600507200380456</v>
      </c>
      <c r="Z11" s="46" t="e">
        <f t="shared" si="4"/>
        <v>#VALUE!</v>
      </c>
      <c r="AA11" s="46" t="e">
        <f t="shared" si="4"/>
        <v>#VALUE!</v>
      </c>
    </row>
    <row r="12" spans="1:27" x14ac:dyDescent="0.2">
      <c r="P12" s="1"/>
      <c r="Q12" s="40"/>
      <c r="U12" s="1">
        <v>7</v>
      </c>
      <c r="V12" s="46">
        <f t="shared" si="0"/>
        <v>24.258445241671172</v>
      </c>
      <c r="W12" s="46">
        <f t="shared" si="1"/>
        <v>28.463239570570213</v>
      </c>
      <c r="X12" s="46">
        <f t="shared" si="2"/>
        <v>31.309563527627237</v>
      </c>
      <c r="Y12" s="46">
        <f t="shared" si="3"/>
        <v>34.440519880389964</v>
      </c>
      <c r="Z12" s="46" t="e">
        <f t="shared" si="4"/>
        <v>#VALUE!</v>
      </c>
      <c r="AA12" s="46" t="e">
        <f t="shared" si="4"/>
        <v>#VALUE!</v>
      </c>
    </row>
    <row r="13" spans="1:27" x14ac:dyDescent="0.2">
      <c r="U13" s="1">
        <v>8</v>
      </c>
      <c r="V13" s="46">
        <f t="shared" si="0"/>
        <v>24.864906372712948</v>
      </c>
      <c r="W13" s="46">
        <f t="shared" si="1"/>
        <v>29.174820559834465</v>
      </c>
      <c r="X13" s="46">
        <f t="shared" si="2"/>
        <v>32.092302615817914</v>
      </c>
      <c r="Y13" s="46">
        <f t="shared" si="3"/>
        <v>35.301532877399708</v>
      </c>
      <c r="Z13" s="46" t="e">
        <f t="shared" ref="Z13:AA13" si="7">Z12+0.15</f>
        <v>#VALUE!</v>
      </c>
      <c r="AA13" s="46" t="e">
        <f t="shared" si="7"/>
        <v>#VALUE!</v>
      </c>
    </row>
    <row r="14" spans="1:27" ht="15.75" x14ac:dyDescent="0.25">
      <c r="T14" s="28"/>
      <c r="U14" s="1">
        <v>9</v>
      </c>
      <c r="V14" s="46">
        <f t="shared" si="0"/>
        <v>25.48652903203077</v>
      </c>
      <c r="W14" s="46">
        <f t="shared" si="1"/>
        <v>29.904191073830326</v>
      </c>
      <c r="X14" s="46">
        <f t="shared" si="2"/>
        <v>32.894610181213359</v>
      </c>
      <c r="Y14" s="46">
        <f t="shared" si="3"/>
        <v>36.184071199334696</v>
      </c>
      <c r="Z14" s="46" t="e">
        <f t="shared" ref="Z14:AA14" si="8">Z13+0.15</f>
        <v>#VALUE!</v>
      </c>
      <c r="AA14" s="46" t="e">
        <f t="shared" si="8"/>
        <v>#VALUE!</v>
      </c>
    </row>
    <row r="15" spans="1:27" ht="16.5" thickBot="1" x14ac:dyDescent="0.3">
      <c r="A15" s="28" t="s">
        <v>434</v>
      </c>
      <c r="B15" s="28"/>
      <c r="C15" s="28"/>
      <c r="D15" s="28"/>
      <c r="E15" s="28"/>
      <c r="F15" s="28"/>
      <c r="G15" s="28"/>
      <c r="H15" s="28"/>
      <c r="I15" s="28"/>
      <c r="J15" s="28"/>
      <c r="K15" s="28"/>
      <c r="L15" s="28"/>
      <c r="M15" s="28"/>
      <c r="N15" s="28"/>
      <c r="O15" s="28"/>
      <c r="P15" s="28"/>
      <c r="Q15" s="28"/>
      <c r="R15" s="28"/>
      <c r="S15" s="28"/>
      <c r="T15" s="63"/>
      <c r="U15" s="1">
        <v>10</v>
      </c>
      <c r="V15" s="46">
        <f t="shared" si="0"/>
        <v>26.123692257831536</v>
      </c>
      <c r="W15" s="46">
        <f t="shared" si="1"/>
        <v>30.651795850676081</v>
      </c>
      <c r="X15" s="46">
        <f t="shared" si="2"/>
        <v>33.716975435743691</v>
      </c>
      <c r="Y15" s="46">
        <f t="shared" si="3"/>
        <v>37.088672979318062</v>
      </c>
      <c r="Z15" s="46" t="e">
        <f t="shared" si="4"/>
        <v>#VALUE!</v>
      </c>
      <c r="AA15" s="46" t="e">
        <f t="shared" si="4"/>
        <v>#VALUE!</v>
      </c>
    </row>
    <row r="16" spans="1:27" ht="15.75" thickBot="1" x14ac:dyDescent="0.3">
      <c r="A16" s="274" t="s">
        <v>137</v>
      </c>
      <c r="B16" s="277" t="s">
        <v>33</v>
      </c>
      <c r="C16" s="278"/>
      <c r="D16" s="278"/>
      <c r="E16" s="278" t="s">
        <v>33</v>
      </c>
      <c r="F16" s="278"/>
      <c r="G16" s="278"/>
      <c r="H16" s="278" t="s">
        <v>34</v>
      </c>
      <c r="I16" s="278"/>
      <c r="J16" s="278"/>
      <c r="K16" s="278" t="s">
        <v>35</v>
      </c>
      <c r="L16" s="278"/>
      <c r="M16" s="278"/>
      <c r="N16" s="278" t="s">
        <v>35</v>
      </c>
      <c r="O16" s="278"/>
      <c r="P16" s="279"/>
      <c r="Q16" s="278" t="s">
        <v>35</v>
      </c>
      <c r="R16" s="278"/>
      <c r="S16" s="279"/>
      <c r="T16" s="64"/>
      <c r="U16" s="1">
        <v>11</v>
      </c>
      <c r="V16" s="46">
        <f t="shared" si="0"/>
        <v>26.776784564277321</v>
      </c>
      <c r="W16" s="46">
        <f t="shared" si="1"/>
        <v>31.41809074694298</v>
      </c>
      <c r="X16" s="46">
        <f t="shared" si="2"/>
        <v>34.559899821637281</v>
      </c>
      <c r="Y16" s="46">
        <f t="shared" si="3"/>
        <v>38.015889803801009</v>
      </c>
      <c r="Z16" s="46" t="e">
        <f t="shared" si="4"/>
        <v>#VALUE!</v>
      </c>
      <c r="AA16" s="46" t="e">
        <f t="shared" si="4"/>
        <v>#VALUE!</v>
      </c>
    </row>
    <row r="17" spans="1:27" ht="15" x14ac:dyDescent="0.2">
      <c r="A17" s="275"/>
      <c r="B17" s="280" t="s">
        <v>138</v>
      </c>
      <c r="C17" s="281"/>
      <c r="D17" s="281"/>
      <c r="E17" s="294" t="s">
        <v>129</v>
      </c>
      <c r="F17" s="295"/>
      <c r="G17" s="296"/>
      <c r="H17" s="294" t="s">
        <v>43</v>
      </c>
      <c r="I17" s="295"/>
      <c r="J17" s="296"/>
      <c r="K17" s="283" t="s">
        <v>139</v>
      </c>
      <c r="L17" s="284"/>
      <c r="M17" s="285"/>
      <c r="N17" s="283" t="s">
        <v>45</v>
      </c>
      <c r="O17" s="284"/>
      <c r="P17" s="285"/>
      <c r="Q17" s="283" t="s">
        <v>140</v>
      </c>
      <c r="R17" s="284"/>
      <c r="S17" s="285"/>
      <c r="T17" s="71"/>
      <c r="U17" s="1">
        <v>12</v>
      </c>
      <c r="V17" s="46">
        <f t="shared" si="0"/>
        <v>27.446204178384253</v>
      </c>
      <c r="W17" s="46">
        <f t="shared" si="1"/>
        <v>32.203543015616553</v>
      </c>
      <c r="X17" s="46">
        <f t="shared" si="2"/>
        <v>35.423897317178209</v>
      </c>
      <c r="Y17" s="46">
        <f t="shared" si="3"/>
        <v>38.966287048896028</v>
      </c>
      <c r="Z17" s="46" t="e">
        <f t="shared" si="4"/>
        <v>#VALUE!</v>
      </c>
      <c r="AA17" s="46" t="e">
        <f t="shared" si="4"/>
        <v>#VALUE!</v>
      </c>
    </row>
    <row r="18" spans="1:27" ht="15" thickBot="1" x14ac:dyDescent="0.25">
      <c r="A18" s="276"/>
      <c r="B18" s="65" t="s">
        <v>141</v>
      </c>
      <c r="C18" s="66" t="s">
        <v>142</v>
      </c>
      <c r="D18" s="66" t="s">
        <v>143</v>
      </c>
      <c r="E18" s="67" t="s">
        <v>141</v>
      </c>
      <c r="F18" s="68" t="s">
        <v>142</v>
      </c>
      <c r="G18" s="69" t="s">
        <v>143</v>
      </c>
      <c r="H18" s="66" t="s">
        <v>141</v>
      </c>
      <c r="I18" s="66" t="s">
        <v>142</v>
      </c>
      <c r="J18" s="70" t="s">
        <v>143</v>
      </c>
      <c r="K18" s="65" t="s">
        <v>141</v>
      </c>
      <c r="L18" s="66" t="s">
        <v>142</v>
      </c>
      <c r="M18" s="70" t="s">
        <v>143</v>
      </c>
      <c r="N18" s="65" t="s">
        <v>141</v>
      </c>
      <c r="O18" s="66" t="s">
        <v>142</v>
      </c>
      <c r="P18" s="70" t="s">
        <v>143</v>
      </c>
      <c r="Q18" s="65" t="s">
        <v>141</v>
      </c>
      <c r="R18" s="66" t="s">
        <v>142</v>
      </c>
      <c r="S18" s="70" t="s">
        <v>143</v>
      </c>
      <c r="T18" s="73"/>
      <c r="U18" s="1">
        <v>13</v>
      </c>
      <c r="V18" s="46">
        <f t="shared" si="0"/>
        <v>28.132359282843858</v>
      </c>
      <c r="W18" s="46">
        <f t="shared" si="1"/>
        <v>33.008631591006967</v>
      </c>
      <c r="X18" s="46">
        <f t="shared" si="2"/>
        <v>36.30949475010766</v>
      </c>
      <c r="Y18" s="46">
        <f t="shared" si="3"/>
        <v>39.940444225118426</v>
      </c>
      <c r="Z18" s="46" t="e">
        <f t="shared" si="4"/>
        <v>#VALUE!</v>
      </c>
      <c r="AA18" s="46" t="e">
        <f t="shared" si="4"/>
        <v>#VALUE!</v>
      </c>
    </row>
    <row r="19" spans="1:27" x14ac:dyDescent="0.2">
      <c r="A19" s="72" t="s">
        <v>144</v>
      </c>
      <c r="B19" s="73">
        <f>F6</f>
        <v>20.40778663899275</v>
      </c>
      <c r="C19" s="73">
        <f>MEDIAN(B19,D19)</f>
        <v>21.192370373762152</v>
      </c>
      <c r="D19" s="73">
        <f>B19*((1.025)^3)</f>
        <v>21.976954108531551</v>
      </c>
      <c r="E19" s="74">
        <f>I6</f>
        <v>23.945133928571433</v>
      </c>
      <c r="F19" s="73">
        <f>MEDIAN(E19,G19)</f>
        <v>24.865712085309713</v>
      </c>
      <c r="G19" s="75">
        <f>E19*((1.025)^3)</f>
        <v>25.786290242047993</v>
      </c>
      <c r="H19" s="73">
        <f>K6</f>
        <v>26.339647321428579</v>
      </c>
      <c r="I19" s="73">
        <f>MEDIAN(H19,J19)</f>
        <v>27.352283293840685</v>
      </c>
      <c r="J19" s="75">
        <f>H19*((1.025)^3)</f>
        <v>28.364919266252794</v>
      </c>
      <c r="K19" s="74">
        <f>M6</f>
        <v>28.97361205357144</v>
      </c>
      <c r="L19" s="73">
        <f>MEDIAN(K19,M19)</f>
        <v>30.087511623224756</v>
      </c>
      <c r="M19" s="75">
        <f>K19*((1.025)^3)</f>
        <v>31.201411192878076</v>
      </c>
      <c r="N19" s="74" t="s">
        <v>433</v>
      </c>
      <c r="O19" s="73" t="s">
        <v>433</v>
      </c>
      <c r="P19" s="75" t="s">
        <v>433</v>
      </c>
      <c r="Q19" s="74" t="s">
        <v>433</v>
      </c>
      <c r="R19" s="73" t="s">
        <v>433</v>
      </c>
      <c r="S19" s="75" t="s">
        <v>433</v>
      </c>
      <c r="T19" s="73"/>
      <c r="U19" s="1">
        <v>14</v>
      </c>
      <c r="V19" s="46">
        <f t="shared" si="0"/>
        <v>28.83566826491495</v>
      </c>
      <c r="W19" s="46">
        <f t="shared" si="1"/>
        <v>33.833847380782139</v>
      </c>
      <c r="X19" s="46">
        <f t="shared" si="2"/>
        <v>37.217232118860352</v>
      </c>
      <c r="Y19" s="46">
        <f t="shared" si="3"/>
        <v>40.938955330746381</v>
      </c>
      <c r="Z19" s="46" t="e">
        <f t="shared" si="4"/>
        <v>#VALUE!</v>
      </c>
      <c r="AA19" s="46" t="e">
        <f t="shared" si="4"/>
        <v>#VALUE!</v>
      </c>
    </row>
    <row r="20" spans="1:27" x14ac:dyDescent="0.2">
      <c r="A20" s="76" t="s">
        <v>145</v>
      </c>
      <c r="B20" s="73">
        <f>B19*((1.025)^4)</f>
        <v>22.526377961244837</v>
      </c>
      <c r="C20" s="73">
        <f t="shared" ref="C20:C24" si="9">MEDIAN(B20,D20)</f>
        <v>23.096576903388844</v>
      </c>
      <c r="D20" s="73">
        <f>B19*((1.025)^6)</f>
        <v>23.66677584553285</v>
      </c>
      <c r="E20" s="74">
        <f>E19*((1.025)^4)</f>
        <v>26.43094749809919</v>
      </c>
      <c r="F20" s="73">
        <f t="shared" ref="F20:F24" si="10">MEDIAN(E20,G20)</f>
        <v>27.099980856644823</v>
      </c>
      <c r="G20" s="75">
        <f>E19*((1.025)^6)</f>
        <v>27.769014215190456</v>
      </c>
      <c r="H20" s="73">
        <f>H19*((1.025)^4)</f>
        <v>29.074042247909112</v>
      </c>
      <c r="I20" s="73">
        <f t="shared" ref="I20:I24" si="11">MEDIAN(H20,J20)</f>
        <v>29.809978942309307</v>
      </c>
      <c r="J20" s="75">
        <f>H19*((1.025)^6)</f>
        <v>30.545915636709505</v>
      </c>
      <c r="K20" s="74">
        <f>K19*((1.025)^4)</f>
        <v>31.981446472700025</v>
      </c>
      <c r="L20" s="73">
        <f t="shared" ref="L20:L24" si="12">MEDIAN(K20,M20)</f>
        <v>32.790976836540246</v>
      </c>
      <c r="M20" s="75">
        <f>K19*((1.025)^6)</f>
        <v>33.600507200380463</v>
      </c>
      <c r="N20" s="74" t="s">
        <v>433</v>
      </c>
      <c r="O20" s="73" t="s">
        <v>433</v>
      </c>
      <c r="P20" s="75" t="s">
        <v>433</v>
      </c>
      <c r="Q20" s="74" t="s">
        <v>433</v>
      </c>
      <c r="R20" s="73" t="s">
        <v>433</v>
      </c>
      <c r="S20" s="75" t="s">
        <v>433</v>
      </c>
      <c r="T20" s="73"/>
      <c r="U20" s="1">
        <v>15</v>
      </c>
      <c r="V20" s="46">
        <f t="shared" si="0"/>
        <v>29.556559971537823</v>
      </c>
      <c r="W20" s="46">
        <f t="shared" si="1"/>
        <v>34.67969356530169</v>
      </c>
      <c r="X20" s="46">
        <f t="shared" si="2"/>
        <v>38.147662921831859</v>
      </c>
      <c r="Y20" s="46">
        <f t="shared" si="3"/>
        <v>41.962429214015039</v>
      </c>
      <c r="Z20" s="46" t="e">
        <f t="shared" si="4"/>
        <v>#VALUE!</v>
      </c>
      <c r="AA20" s="46" t="e">
        <f t="shared" si="4"/>
        <v>#VALUE!</v>
      </c>
    </row>
    <row r="21" spans="1:27" x14ac:dyDescent="0.2">
      <c r="A21" s="76" t="s">
        <v>146</v>
      </c>
      <c r="B21" s="73">
        <f>B19*((1.025)^7)</f>
        <v>24.258445241671176</v>
      </c>
      <c r="C21" s="73">
        <f t="shared" si="9"/>
        <v>24.872487136850971</v>
      </c>
      <c r="D21" s="73">
        <f>B19*((1.025)^9)</f>
        <v>25.48652903203077</v>
      </c>
      <c r="E21" s="74">
        <f>E19*((1.025)^7)</f>
        <v>28.46323957057022</v>
      </c>
      <c r="F21" s="73">
        <f t="shared" si="10"/>
        <v>29.183715322200275</v>
      </c>
      <c r="G21" s="75">
        <f>E19*((1.025)^9)</f>
        <v>29.904191073830329</v>
      </c>
      <c r="H21" s="73">
        <f>H19*((1.025)^7)</f>
        <v>31.309563527627244</v>
      </c>
      <c r="I21" s="73">
        <f t="shared" si="11"/>
        <v>32.102086854420307</v>
      </c>
      <c r="J21" s="75">
        <f>H19*((1.025)^9)</f>
        <v>32.894610181213366</v>
      </c>
      <c r="K21" s="74">
        <f>K19*((1.025)^7)</f>
        <v>34.440519880389971</v>
      </c>
      <c r="L21" s="73">
        <f t="shared" si="12"/>
        <v>35.312295539862333</v>
      </c>
      <c r="M21" s="75">
        <f>K19*((1.025)^9)</f>
        <v>36.184071199334703</v>
      </c>
      <c r="N21" s="74" t="s">
        <v>433</v>
      </c>
      <c r="O21" s="73" t="s">
        <v>433</v>
      </c>
      <c r="P21" s="75" t="s">
        <v>433</v>
      </c>
      <c r="Q21" s="74" t="s">
        <v>433</v>
      </c>
      <c r="R21" s="73" t="s">
        <v>433</v>
      </c>
      <c r="S21" s="75" t="s">
        <v>433</v>
      </c>
      <c r="T21" s="73"/>
      <c r="U21" s="1">
        <v>16</v>
      </c>
      <c r="V21" s="46">
        <f t="shared" si="0"/>
        <v>30.295473970826265</v>
      </c>
      <c r="W21" s="46">
        <f t="shared" si="1"/>
        <v>35.546685904434227</v>
      </c>
      <c r="X21" s="46">
        <f t="shared" si="2"/>
        <v>39.101354494877654</v>
      </c>
      <c r="Y21" s="46">
        <f t="shared" si="3"/>
        <v>43.011489944365408</v>
      </c>
      <c r="Z21" s="46" t="e">
        <f t="shared" si="4"/>
        <v>#VALUE!</v>
      </c>
      <c r="AA21" s="46" t="e">
        <f t="shared" si="4"/>
        <v>#VALUE!</v>
      </c>
    </row>
    <row r="22" spans="1:27" x14ac:dyDescent="0.2">
      <c r="A22" s="76" t="s">
        <v>147</v>
      </c>
      <c r="B22" s="73">
        <f>B19*((1.025)^10)</f>
        <v>26.123692257831539</v>
      </c>
      <c r="C22" s="73">
        <f t="shared" si="9"/>
        <v>26.7849482181079</v>
      </c>
      <c r="D22" s="73">
        <f>B19*((1.025)^12)</f>
        <v>27.44620417838426</v>
      </c>
      <c r="E22" s="74">
        <f>E19*((1.025)^10)</f>
        <v>30.651795850676088</v>
      </c>
      <c r="F22" s="73">
        <f t="shared" si="10"/>
        <v>31.427669433146324</v>
      </c>
      <c r="G22" s="75">
        <f>E19*((1.025)^12)</f>
        <v>32.20354301561656</v>
      </c>
      <c r="H22" s="73">
        <f>H19*((1.025)^10)</f>
        <v>33.716975435743699</v>
      </c>
      <c r="I22" s="73">
        <f t="shared" si="11"/>
        <v>34.570436376460961</v>
      </c>
      <c r="J22" s="75">
        <f>H19*((1.025)^12)</f>
        <v>35.423897317178223</v>
      </c>
      <c r="K22" s="74">
        <f>K19*((1.025)^10)</f>
        <v>37.088672979318076</v>
      </c>
      <c r="L22" s="73">
        <f t="shared" si="12"/>
        <v>38.027480014107063</v>
      </c>
      <c r="M22" s="75">
        <f>K19*((1.025)^12)</f>
        <v>38.966287048896049</v>
      </c>
      <c r="N22" s="74" t="s">
        <v>433</v>
      </c>
      <c r="O22" s="73" t="s">
        <v>433</v>
      </c>
      <c r="P22" s="75" t="s">
        <v>433</v>
      </c>
      <c r="Q22" s="74" t="s">
        <v>433</v>
      </c>
      <c r="R22" s="73" t="s">
        <v>433</v>
      </c>
      <c r="S22" s="75" t="s">
        <v>433</v>
      </c>
      <c r="T22" s="73"/>
      <c r="U22" s="1">
        <v>17</v>
      </c>
      <c r="V22" s="46">
        <f t="shared" si="0"/>
        <v>31.052860820096917</v>
      </c>
      <c r="W22" s="46">
        <f t="shared" si="1"/>
        <v>36.43535305204508</v>
      </c>
      <c r="X22" s="46">
        <f t="shared" si="2"/>
        <v>40.078888357249589</v>
      </c>
      <c r="Y22" s="46">
        <f t="shared" si="3"/>
        <v>44.086777192974537</v>
      </c>
      <c r="Z22" s="46" t="e">
        <f t="shared" ref="Z22:AA22" si="13">Z21+0.15</f>
        <v>#VALUE!</v>
      </c>
      <c r="AA22" s="46" t="e">
        <f t="shared" si="13"/>
        <v>#VALUE!</v>
      </c>
    </row>
    <row r="23" spans="1:27" x14ac:dyDescent="0.2">
      <c r="A23" s="76" t="s">
        <v>148</v>
      </c>
      <c r="B23" s="73">
        <f>B19*((1.025)^13)</f>
        <v>28.132359282843865</v>
      </c>
      <c r="C23" s="73">
        <f t="shared" si="9"/>
        <v>28.844459627190851</v>
      </c>
      <c r="D23" s="73">
        <f>B19*((1.025)^15)</f>
        <v>29.556559971537837</v>
      </c>
      <c r="E23" s="74">
        <f>E19*((1.025)^13)</f>
        <v>33.008631591006974</v>
      </c>
      <c r="F23" s="73">
        <f t="shared" si="10"/>
        <v>33.844162578154339</v>
      </c>
      <c r="G23" s="75">
        <f>E19*((1.025)^15)</f>
        <v>34.679693565301704</v>
      </c>
      <c r="H23" s="73">
        <f>H19*((1.025)^13)</f>
        <v>36.309494750107675</v>
      </c>
      <c r="I23" s="73">
        <f t="shared" si="11"/>
        <v>37.228578835969778</v>
      </c>
      <c r="J23" s="75">
        <f>H19*((1.025)^15)</f>
        <v>38.147662921831881</v>
      </c>
      <c r="K23" s="74">
        <f>K19*((1.025)^13)</f>
        <v>39.940444225118448</v>
      </c>
      <c r="L23" s="73">
        <f t="shared" si="12"/>
        <v>40.951436719566757</v>
      </c>
      <c r="M23" s="75">
        <f>K19*((1.025)^15)</f>
        <v>41.962429214015067</v>
      </c>
      <c r="N23" s="74" t="s">
        <v>433</v>
      </c>
      <c r="O23" s="73" t="s">
        <v>433</v>
      </c>
      <c r="P23" s="75" t="s">
        <v>433</v>
      </c>
      <c r="Q23" s="74" t="s">
        <v>433</v>
      </c>
      <c r="R23" s="73" t="s">
        <v>433</v>
      </c>
      <c r="S23" s="75" t="s">
        <v>433</v>
      </c>
      <c r="T23" s="73"/>
      <c r="U23" s="1">
        <v>18</v>
      </c>
      <c r="V23" s="46">
        <f t="shared" si="0"/>
        <v>31.829182340599338</v>
      </c>
      <c r="W23" s="46">
        <f t="shared" si="1"/>
        <v>37.346236878346204</v>
      </c>
      <c r="X23" s="46">
        <f t="shared" si="2"/>
        <v>41.080860566180824</v>
      </c>
      <c r="Y23" s="46">
        <f t="shared" si="3"/>
        <v>45.188946622798895</v>
      </c>
      <c r="Z23" s="46" t="e">
        <f t="shared" ref="Z23:AA25" si="14">Z22+0.15</f>
        <v>#VALUE!</v>
      </c>
      <c r="AA23" s="46" t="e">
        <f t="shared" si="14"/>
        <v>#VALUE!</v>
      </c>
    </row>
    <row r="24" spans="1:27" x14ac:dyDescent="0.2">
      <c r="A24" s="76" t="s">
        <v>149</v>
      </c>
      <c r="B24" s="73">
        <f>B19*((1.025)^16)</f>
        <v>30.295473970826279</v>
      </c>
      <c r="C24" s="73">
        <f t="shared" si="9"/>
        <v>31.868004333709237</v>
      </c>
      <c r="D24" s="73">
        <f>B19*((1.025)^20)</f>
        <v>33.440534696592195</v>
      </c>
      <c r="E24" s="74">
        <f>E19*((1.025)^16)</f>
        <v>35.546685904434241</v>
      </c>
      <c r="F24" s="73">
        <f t="shared" si="10"/>
        <v>37.391788012373368</v>
      </c>
      <c r="G24" s="75">
        <f>E19*((1.025)^20)</f>
        <v>39.236890120312495</v>
      </c>
      <c r="H24" s="74">
        <f>H19*((1.025)^16)</f>
        <v>39.101354494877675</v>
      </c>
      <c r="I24" s="73">
        <f t="shared" si="11"/>
        <v>41.130966813610712</v>
      </c>
      <c r="J24" s="75">
        <f>H19*((1.025)^20)</f>
        <v>43.160579132343749</v>
      </c>
      <c r="K24" s="73">
        <f>K19*((1.025)^16)</f>
        <v>43.011489944365444</v>
      </c>
      <c r="L24" s="73">
        <f t="shared" si="12"/>
        <v>45.244063494971783</v>
      </c>
      <c r="M24" s="75">
        <f>K19*((1.025)^20)</f>
        <v>47.47663704557813</v>
      </c>
      <c r="N24" s="73" t="s">
        <v>433</v>
      </c>
      <c r="O24" s="73" t="s">
        <v>433</v>
      </c>
      <c r="P24" s="73" t="s">
        <v>433</v>
      </c>
      <c r="Q24" s="74" t="s">
        <v>433</v>
      </c>
      <c r="R24" s="73" t="s">
        <v>433</v>
      </c>
      <c r="S24" s="75" t="s">
        <v>433</v>
      </c>
      <c r="U24" s="1">
        <v>19</v>
      </c>
      <c r="V24" s="46">
        <f t="shared" si="0"/>
        <v>32.624911899114316</v>
      </c>
      <c r="W24" s="46">
        <f t="shared" si="1"/>
        <v>38.279892800304857</v>
      </c>
      <c r="X24" s="46">
        <f t="shared" si="2"/>
        <v>42.107882080335344</v>
      </c>
      <c r="Y24" s="46">
        <f t="shared" si="3"/>
        <v>46.318670288368864</v>
      </c>
      <c r="Z24" s="46" t="e">
        <f t="shared" si="14"/>
        <v>#VALUE!</v>
      </c>
      <c r="AA24" s="46" t="e">
        <f t="shared" si="14"/>
        <v>#VALUE!</v>
      </c>
    </row>
    <row r="25" spans="1:27" ht="15" x14ac:dyDescent="0.25">
      <c r="A25" s="44"/>
      <c r="B25" s="36"/>
      <c r="C25" s="46"/>
      <c r="D25" s="36"/>
      <c r="E25" s="81"/>
      <c r="F25" s="81"/>
      <c r="G25" s="81"/>
      <c r="H25" s="81"/>
      <c r="I25" s="73"/>
      <c r="J25" s="73"/>
      <c r="M25" s="40"/>
      <c r="P25" s="1"/>
      <c r="U25" s="1">
        <v>20</v>
      </c>
      <c r="V25" s="46">
        <f t="shared" si="0"/>
        <v>33.440534696592174</v>
      </c>
      <c r="W25" s="46">
        <f t="shared" si="1"/>
        <v>39.236890120312474</v>
      </c>
      <c r="X25" s="46">
        <f t="shared" si="2"/>
        <v>43.16057913234372</v>
      </c>
      <c r="Y25" s="46">
        <f t="shared" si="3"/>
        <v>47.47663704557808</v>
      </c>
      <c r="Z25" s="46" t="e">
        <f t="shared" si="14"/>
        <v>#VALUE!</v>
      </c>
      <c r="AA25" s="46" t="e">
        <f t="shared" si="14"/>
        <v>#VALUE!</v>
      </c>
    </row>
    <row r="26" spans="1:27" ht="15" x14ac:dyDescent="0.25">
      <c r="A26" s="44"/>
      <c r="B26" s="36"/>
      <c r="C26" s="46"/>
      <c r="D26" s="36"/>
      <c r="E26" s="81"/>
      <c r="F26" s="81"/>
      <c r="G26" s="81"/>
      <c r="H26" s="81"/>
      <c r="I26" s="73"/>
      <c r="J26" s="73"/>
      <c r="M26" s="40"/>
      <c r="P26" s="1"/>
      <c r="V26" s="46"/>
      <c r="W26" s="46"/>
      <c r="X26" s="46"/>
    </row>
    <row r="27" spans="1:27" ht="15" x14ac:dyDescent="0.25">
      <c r="A27" s="44"/>
      <c r="B27" s="36"/>
      <c r="C27" s="46"/>
      <c r="D27" s="36"/>
      <c r="E27" s="81"/>
      <c r="F27" s="81"/>
      <c r="G27" s="81"/>
      <c r="H27" s="81"/>
      <c r="I27" s="73"/>
      <c r="J27" s="73"/>
      <c r="M27" s="40"/>
      <c r="P27" s="1"/>
      <c r="U27" s="46"/>
    </row>
    <row r="28" spans="1:27" x14ac:dyDescent="0.2">
      <c r="O28" s="40"/>
      <c r="P28" s="1"/>
      <c r="V28" s="273" t="s">
        <v>388</v>
      </c>
      <c r="W28" s="273"/>
      <c r="X28" s="273"/>
      <c r="Y28" s="273"/>
      <c r="Z28" s="273"/>
      <c r="AA28" s="273"/>
    </row>
    <row r="29" spans="1:27" ht="16.5" thickBot="1" x14ac:dyDescent="0.3">
      <c r="A29" s="28" t="s">
        <v>435</v>
      </c>
      <c r="B29" s="28"/>
      <c r="C29" s="28"/>
      <c r="D29" s="28"/>
      <c r="E29" s="28"/>
      <c r="F29" s="28"/>
      <c r="G29" s="28"/>
      <c r="H29" s="28"/>
      <c r="I29" s="28"/>
      <c r="J29" s="28"/>
      <c r="K29" s="28"/>
      <c r="L29" s="28"/>
      <c r="M29" s="28"/>
      <c r="N29" s="28"/>
      <c r="O29" s="28"/>
      <c r="P29" s="28"/>
      <c r="Q29" s="28"/>
      <c r="R29" s="28"/>
      <c r="S29" s="28"/>
      <c r="U29" s="1" t="s">
        <v>130</v>
      </c>
      <c r="V29" s="44" t="s">
        <v>131</v>
      </c>
      <c r="W29" s="44" t="s">
        <v>48</v>
      </c>
      <c r="X29" s="44" t="s">
        <v>50</v>
      </c>
      <c r="Y29" s="44" t="s">
        <v>132</v>
      </c>
      <c r="Z29" s="44" t="s">
        <v>133</v>
      </c>
      <c r="AA29" s="44" t="s">
        <v>134</v>
      </c>
    </row>
    <row r="30" spans="1:27" ht="15.75" thickBot="1" x14ac:dyDescent="0.3">
      <c r="A30" s="274" t="s">
        <v>137</v>
      </c>
      <c r="B30" s="277" t="s">
        <v>33</v>
      </c>
      <c r="C30" s="278"/>
      <c r="D30" s="278"/>
      <c r="E30" s="278" t="s">
        <v>33</v>
      </c>
      <c r="F30" s="278"/>
      <c r="G30" s="278"/>
      <c r="H30" s="278" t="s">
        <v>34</v>
      </c>
      <c r="I30" s="278"/>
      <c r="J30" s="278"/>
      <c r="K30" s="278" t="s">
        <v>35</v>
      </c>
      <c r="L30" s="278"/>
      <c r="M30" s="278"/>
      <c r="N30" s="278" t="s">
        <v>35</v>
      </c>
      <c r="O30" s="278"/>
      <c r="P30" s="279"/>
      <c r="Q30" s="278" t="s">
        <v>35</v>
      </c>
      <c r="R30" s="278"/>
      <c r="S30" s="279"/>
      <c r="U30" s="1">
        <v>0</v>
      </c>
      <c r="V30" s="46">
        <f>H8</f>
        <v>18.552533308175224</v>
      </c>
      <c r="W30" s="46">
        <f>I8</f>
        <v>21.768303571428575</v>
      </c>
      <c r="X30" s="46">
        <f>K8</f>
        <v>23.945133928571433</v>
      </c>
      <c r="Y30" s="46">
        <f>M8</f>
        <v>26.339647321428579</v>
      </c>
      <c r="Z30" s="46" t="str">
        <f>N8</f>
        <v xml:space="preserve">- </v>
      </c>
      <c r="AA30" s="46" t="str">
        <f>O8</f>
        <v xml:space="preserve">- </v>
      </c>
    </row>
    <row r="31" spans="1:27" ht="15" x14ac:dyDescent="0.2">
      <c r="A31" s="275"/>
      <c r="B31" s="280" t="s">
        <v>151</v>
      </c>
      <c r="C31" s="281"/>
      <c r="D31" s="282"/>
      <c r="E31" s="283" t="s">
        <v>129</v>
      </c>
      <c r="F31" s="284"/>
      <c r="G31" s="284"/>
      <c r="H31" s="294" t="s">
        <v>43</v>
      </c>
      <c r="I31" s="295"/>
      <c r="J31" s="296"/>
      <c r="K31" s="283" t="s">
        <v>44</v>
      </c>
      <c r="L31" s="284"/>
      <c r="M31" s="285"/>
      <c r="N31" s="283" t="s">
        <v>45</v>
      </c>
      <c r="O31" s="284"/>
      <c r="P31" s="285"/>
      <c r="Q31" s="283" t="s">
        <v>152</v>
      </c>
      <c r="R31" s="284"/>
      <c r="S31" s="285"/>
      <c r="U31" s="1">
        <v>1</v>
      </c>
      <c r="V31" s="46">
        <f t="shared" ref="V31:V50" si="15">V30*1.025</f>
        <v>19.016346640879604</v>
      </c>
      <c r="W31" s="46">
        <f t="shared" ref="W31:W50" si="16">W30*1.025</f>
        <v>22.312511160714287</v>
      </c>
      <c r="X31" s="46">
        <f t="shared" ref="X31:X50" si="17">X30*1.025</f>
        <v>24.543762276785717</v>
      </c>
      <c r="Y31" s="46">
        <f t="shared" ref="Y31:Y50" si="18">Y30*1.025</f>
        <v>26.99813850446429</v>
      </c>
      <c r="Z31" s="46" t="e">
        <f t="shared" ref="Z31:AA31" si="19">Z30+0.15</f>
        <v>#VALUE!</v>
      </c>
      <c r="AA31" s="46" t="e">
        <f t="shared" si="19"/>
        <v>#VALUE!</v>
      </c>
    </row>
    <row r="32" spans="1:27" ht="15" thickBot="1" x14ac:dyDescent="0.25">
      <c r="A32" s="276"/>
      <c r="B32" s="65" t="s">
        <v>141</v>
      </c>
      <c r="C32" s="66" t="s">
        <v>142</v>
      </c>
      <c r="D32" s="70" t="s">
        <v>143</v>
      </c>
      <c r="E32" s="68" t="s">
        <v>141</v>
      </c>
      <c r="F32" s="68" t="s">
        <v>142</v>
      </c>
      <c r="G32" s="68" t="s">
        <v>143</v>
      </c>
      <c r="H32" s="65" t="s">
        <v>141</v>
      </c>
      <c r="I32" s="66" t="s">
        <v>142</v>
      </c>
      <c r="J32" s="70" t="s">
        <v>143</v>
      </c>
      <c r="K32" s="65" t="s">
        <v>141</v>
      </c>
      <c r="L32" s="66" t="s">
        <v>142</v>
      </c>
      <c r="M32" s="70" t="s">
        <v>143</v>
      </c>
      <c r="N32" s="65" t="s">
        <v>141</v>
      </c>
      <c r="O32" s="66" t="s">
        <v>142</v>
      </c>
      <c r="P32" s="70" t="s">
        <v>143</v>
      </c>
      <c r="Q32" s="65" t="s">
        <v>141</v>
      </c>
      <c r="R32" s="66" t="s">
        <v>142</v>
      </c>
      <c r="S32" s="70" t="s">
        <v>143</v>
      </c>
      <c r="U32" s="1">
        <v>2</v>
      </c>
      <c r="V32" s="46">
        <f t="shared" si="15"/>
        <v>19.491755306901592</v>
      </c>
      <c r="W32" s="46">
        <f t="shared" si="16"/>
        <v>22.870323939732142</v>
      </c>
      <c r="X32" s="46">
        <f t="shared" si="17"/>
        <v>25.157356333705359</v>
      </c>
      <c r="Y32" s="46">
        <f t="shared" si="18"/>
        <v>27.673091967075894</v>
      </c>
      <c r="Z32" s="46" t="e">
        <f t="shared" ref="Z32:AA38" si="20">Z31+0.15</f>
        <v>#VALUE!</v>
      </c>
      <c r="AA32" s="46" t="e">
        <f t="shared" si="20"/>
        <v>#VALUE!</v>
      </c>
    </row>
    <row r="33" spans="1:27" x14ac:dyDescent="0.2">
      <c r="A33" s="72" t="s">
        <v>144</v>
      </c>
      <c r="B33" s="73">
        <f>F8</f>
        <v>18.552533308175224</v>
      </c>
      <c r="C33" s="73">
        <f>MEDIAN(B33,D33)</f>
        <v>19.265791248874677</v>
      </c>
      <c r="D33" s="75">
        <f>B33*((1.025)^3)</f>
        <v>19.979049189574134</v>
      </c>
      <c r="E33" s="73">
        <f>I8</f>
        <v>21.768303571428575</v>
      </c>
      <c r="F33" s="73">
        <f>MEDIAN(E33,G33)</f>
        <v>22.605192804827013</v>
      </c>
      <c r="G33" s="73">
        <f>E33*((1.025)^3)</f>
        <v>23.442082038225447</v>
      </c>
      <c r="H33" s="74">
        <f>K8</f>
        <v>23.945133928571433</v>
      </c>
      <c r="I33" s="73">
        <f>MEDIAN(H33,J33)</f>
        <v>24.865712085309713</v>
      </c>
      <c r="J33" s="75">
        <f>H33*((1.025)^3)</f>
        <v>25.786290242047993</v>
      </c>
      <c r="K33" s="74">
        <f>M8</f>
        <v>26.339647321428579</v>
      </c>
      <c r="L33" s="73">
        <f>MEDIAN(K33,M33)</f>
        <v>27.352283293840685</v>
      </c>
      <c r="M33" s="75">
        <f>K33*((1.025)^3)</f>
        <v>28.364919266252794</v>
      </c>
      <c r="N33" s="74" t="s">
        <v>433</v>
      </c>
      <c r="O33" s="73" t="s">
        <v>433</v>
      </c>
      <c r="P33" s="75" t="s">
        <v>433</v>
      </c>
      <c r="Q33" s="74" t="s">
        <v>433</v>
      </c>
      <c r="R33" s="73" t="s">
        <v>433</v>
      </c>
      <c r="S33" s="75" t="s">
        <v>433</v>
      </c>
      <c r="U33" s="1">
        <v>3</v>
      </c>
      <c r="V33" s="46">
        <f t="shared" si="15"/>
        <v>19.97904918957413</v>
      </c>
      <c r="W33" s="46">
        <f t="shared" si="16"/>
        <v>23.442082038225443</v>
      </c>
      <c r="X33" s="46">
        <f t="shared" si="17"/>
        <v>25.78629024204799</v>
      </c>
      <c r="Y33" s="46">
        <f t="shared" si="18"/>
        <v>28.364919266252791</v>
      </c>
      <c r="Z33" s="46" t="e">
        <f t="shared" si="20"/>
        <v>#VALUE!</v>
      </c>
      <c r="AA33" s="46" t="e">
        <f t="shared" si="20"/>
        <v>#VALUE!</v>
      </c>
    </row>
    <row r="34" spans="1:27" x14ac:dyDescent="0.2">
      <c r="A34" s="76" t="s">
        <v>145</v>
      </c>
      <c r="B34" s="73">
        <f>B33*((1.025)^4)</f>
        <v>20.478525419313485</v>
      </c>
      <c r="C34" s="73">
        <f t="shared" ref="C34:C38" si="21">MEDIAN(B34,D34)</f>
        <v>20.996888093989853</v>
      </c>
      <c r="D34" s="75">
        <f>B33*((1.025)^6)</f>
        <v>21.515250768666224</v>
      </c>
      <c r="E34" s="73">
        <f>E33*((1.025)^4)</f>
        <v>24.02813408918108</v>
      </c>
      <c r="F34" s="73">
        <f t="shared" ref="F34:F38" si="22">MEDIAN(E34,G34)</f>
        <v>24.636346233313475</v>
      </c>
      <c r="G34" s="73">
        <f>E33*((1.025)^6)</f>
        <v>25.24455837744587</v>
      </c>
      <c r="H34" s="74">
        <f>H33*((1.025)^4)</f>
        <v>26.43094749809919</v>
      </c>
      <c r="I34" s="73">
        <f t="shared" ref="I34:I38" si="23">MEDIAN(H34,J34)</f>
        <v>27.099980856644823</v>
      </c>
      <c r="J34" s="75">
        <f>H33*((1.025)^6)</f>
        <v>27.769014215190456</v>
      </c>
      <c r="K34" s="74">
        <f>K33*((1.025)^4)</f>
        <v>29.074042247909112</v>
      </c>
      <c r="L34" s="73">
        <f t="shared" ref="L34:L38" si="24">MEDIAN(K34,M34)</f>
        <v>29.809978942309307</v>
      </c>
      <c r="M34" s="75">
        <f>K33*((1.025)^6)</f>
        <v>30.545915636709505</v>
      </c>
      <c r="N34" s="74" t="s">
        <v>433</v>
      </c>
      <c r="O34" s="73" t="s">
        <v>433</v>
      </c>
      <c r="P34" s="75" t="s">
        <v>433</v>
      </c>
      <c r="Q34" s="74" t="s">
        <v>433</v>
      </c>
      <c r="R34" s="73" t="s">
        <v>433</v>
      </c>
      <c r="S34" s="75" t="s">
        <v>433</v>
      </c>
      <c r="U34" s="1">
        <v>4</v>
      </c>
      <c r="V34" s="46">
        <f t="shared" si="15"/>
        <v>20.478525419313481</v>
      </c>
      <c r="W34" s="46">
        <f t="shared" si="16"/>
        <v>24.028134089181076</v>
      </c>
      <c r="X34" s="46">
        <f t="shared" si="17"/>
        <v>26.430947498099187</v>
      </c>
      <c r="Y34" s="46">
        <f t="shared" si="18"/>
        <v>29.074042247909109</v>
      </c>
      <c r="Z34" s="46" t="e">
        <f t="shared" si="20"/>
        <v>#VALUE!</v>
      </c>
      <c r="AA34" s="46" t="e">
        <f t="shared" si="20"/>
        <v>#VALUE!</v>
      </c>
    </row>
    <row r="35" spans="1:27" x14ac:dyDescent="0.2">
      <c r="A35" s="76" t="s">
        <v>146</v>
      </c>
      <c r="B35" s="73">
        <f>B33*((1.025)^7)</f>
        <v>22.053132037882882</v>
      </c>
      <c r="C35" s="73">
        <f t="shared" si="21"/>
        <v>22.611351942591789</v>
      </c>
      <c r="D35" s="75">
        <f>B33*((1.025)^9)</f>
        <v>23.169571847300698</v>
      </c>
      <c r="E35" s="73">
        <f>E33*((1.025)^7)</f>
        <v>25.875672336882019</v>
      </c>
      <c r="F35" s="73">
        <f t="shared" si="22"/>
        <v>26.530650292909343</v>
      </c>
      <c r="G35" s="73">
        <f>E33*((1.025)^9)</f>
        <v>27.185628248936663</v>
      </c>
      <c r="H35" s="74">
        <f>H33*((1.025)^7)</f>
        <v>28.46323957057022</v>
      </c>
      <c r="I35" s="73">
        <f t="shared" si="23"/>
        <v>29.183715322200275</v>
      </c>
      <c r="J35" s="75">
        <f>H33*((1.025)^9)</f>
        <v>29.904191073830329</v>
      </c>
      <c r="K35" s="74">
        <f>K33*((1.025)^7)</f>
        <v>31.309563527627244</v>
      </c>
      <c r="L35" s="73">
        <f t="shared" si="24"/>
        <v>32.102086854420307</v>
      </c>
      <c r="M35" s="75">
        <f>K33*((1.025)^9)</f>
        <v>32.894610181213366</v>
      </c>
      <c r="N35" s="74" t="s">
        <v>433</v>
      </c>
      <c r="O35" s="73" t="s">
        <v>433</v>
      </c>
      <c r="P35" s="75" t="s">
        <v>433</v>
      </c>
      <c r="Q35" s="74" t="s">
        <v>433</v>
      </c>
      <c r="R35" s="73" t="s">
        <v>433</v>
      </c>
      <c r="S35" s="75" t="s">
        <v>433</v>
      </c>
      <c r="U35" s="1">
        <v>5</v>
      </c>
      <c r="V35" s="46">
        <f t="shared" si="15"/>
        <v>20.990488554796315</v>
      </c>
      <c r="W35" s="46">
        <f t="shared" si="16"/>
        <v>24.628837441410599</v>
      </c>
      <c r="X35" s="46">
        <f t="shared" si="17"/>
        <v>27.091721185551663</v>
      </c>
      <c r="Y35" s="46">
        <f t="shared" si="18"/>
        <v>29.800893304106832</v>
      </c>
      <c r="Z35" s="46" t="e">
        <f t="shared" si="20"/>
        <v>#VALUE!</v>
      </c>
      <c r="AA35" s="46" t="e">
        <f t="shared" si="20"/>
        <v>#VALUE!</v>
      </c>
    </row>
    <row r="36" spans="1:27" x14ac:dyDescent="0.2">
      <c r="A36" s="76" t="s">
        <v>147</v>
      </c>
      <c r="B36" s="73">
        <f>B33*((1.025)^10)</f>
        <v>23.748811143483216</v>
      </c>
      <c r="C36" s="73">
        <f t="shared" si="21"/>
        <v>24.349952925552635</v>
      </c>
      <c r="D36" s="75">
        <f>B33*((1.025)^12)</f>
        <v>24.951094707622051</v>
      </c>
      <c r="E36" s="73">
        <f>E33*((1.025)^10)</f>
        <v>27.865268955160079</v>
      </c>
      <c r="F36" s="73">
        <f t="shared" si="22"/>
        <v>28.570608575587567</v>
      </c>
      <c r="G36" s="73">
        <f>E33*((1.025)^12)</f>
        <v>29.275948196015054</v>
      </c>
      <c r="H36" s="74">
        <f>H33*((1.025)^10)</f>
        <v>30.651795850676088</v>
      </c>
      <c r="I36" s="73">
        <f t="shared" si="23"/>
        <v>31.427669433146324</v>
      </c>
      <c r="J36" s="75">
        <f>H33*((1.025)^12)</f>
        <v>32.20354301561656</v>
      </c>
      <c r="K36" s="74">
        <f>K33*((1.025)^10)</f>
        <v>33.716975435743699</v>
      </c>
      <c r="L36" s="73">
        <f t="shared" si="24"/>
        <v>34.570436376460961</v>
      </c>
      <c r="M36" s="75">
        <f>K33*((1.025)^12)</f>
        <v>35.423897317178223</v>
      </c>
      <c r="N36" s="74" t="s">
        <v>433</v>
      </c>
      <c r="O36" s="73" t="s">
        <v>433</v>
      </c>
      <c r="P36" s="75" t="s">
        <v>433</v>
      </c>
      <c r="Q36" s="74" t="s">
        <v>433</v>
      </c>
      <c r="R36" s="73" t="s">
        <v>433</v>
      </c>
      <c r="S36" s="75" t="s">
        <v>433</v>
      </c>
      <c r="T36" s="46"/>
      <c r="U36" s="1">
        <v>6</v>
      </c>
      <c r="V36" s="46">
        <f t="shared" si="15"/>
        <v>21.51525076866622</v>
      </c>
      <c r="W36" s="46">
        <f t="shared" si="16"/>
        <v>25.244558377445863</v>
      </c>
      <c r="X36" s="46">
        <f t="shared" si="17"/>
        <v>27.769014215190452</v>
      </c>
      <c r="Y36" s="46">
        <f t="shared" si="18"/>
        <v>30.545915636709502</v>
      </c>
      <c r="Z36" s="46" t="e">
        <f t="shared" si="20"/>
        <v>#VALUE!</v>
      </c>
      <c r="AA36" s="46" t="e">
        <f t="shared" si="20"/>
        <v>#VALUE!</v>
      </c>
    </row>
    <row r="37" spans="1:27" x14ac:dyDescent="0.2">
      <c r="A37" s="76" t="s">
        <v>148</v>
      </c>
      <c r="B37" s="73">
        <f>B33*((1.025)^13)</f>
        <v>25.574872075312602</v>
      </c>
      <c r="C37" s="73">
        <f t="shared" si="21"/>
        <v>26.222236024718953</v>
      </c>
      <c r="D37" s="73">
        <f>B33*((1.025)^15)</f>
        <v>26.8695999741253</v>
      </c>
      <c r="E37" s="74">
        <f>E33*((1.025)^13)</f>
        <v>30.007846900915432</v>
      </c>
      <c r="F37" s="73">
        <f t="shared" si="22"/>
        <v>30.767420525594854</v>
      </c>
      <c r="G37" s="75">
        <f>E33*((1.025)^15)</f>
        <v>31.526994150274277</v>
      </c>
      <c r="H37" s="73">
        <f>H33*((1.025)^13)</f>
        <v>33.008631591006974</v>
      </c>
      <c r="I37" s="73">
        <f t="shared" si="23"/>
        <v>33.844162578154339</v>
      </c>
      <c r="J37" s="75">
        <f>H33*((1.025)^15)</f>
        <v>34.679693565301704</v>
      </c>
      <c r="K37" s="74">
        <f>K33*((1.025)^13)</f>
        <v>36.309494750107675</v>
      </c>
      <c r="L37" s="73">
        <f t="shared" si="24"/>
        <v>37.228578835969778</v>
      </c>
      <c r="M37" s="75">
        <f>K33*((1.025)^15)</f>
        <v>38.147662921831881</v>
      </c>
      <c r="N37" s="74" t="s">
        <v>433</v>
      </c>
      <c r="O37" s="73" t="s">
        <v>433</v>
      </c>
      <c r="P37" s="75" t="s">
        <v>433</v>
      </c>
      <c r="Q37" s="74" t="s">
        <v>433</v>
      </c>
      <c r="R37" s="73" t="s">
        <v>433</v>
      </c>
      <c r="S37" s="75" t="s">
        <v>433</v>
      </c>
      <c r="U37" s="1">
        <v>7</v>
      </c>
      <c r="V37" s="46">
        <f t="shared" si="15"/>
        <v>22.053132037882875</v>
      </c>
      <c r="W37" s="46">
        <f t="shared" si="16"/>
        <v>25.875672336882008</v>
      </c>
      <c r="X37" s="46">
        <f t="shared" si="17"/>
        <v>28.463239570570213</v>
      </c>
      <c r="Y37" s="46">
        <f t="shared" si="18"/>
        <v>31.309563527627237</v>
      </c>
      <c r="Z37" s="46" t="e">
        <f t="shared" si="20"/>
        <v>#VALUE!</v>
      </c>
      <c r="AA37" s="46" t="e">
        <f t="shared" si="20"/>
        <v>#VALUE!</v>
      </c>
    </row>
    <row r="38" spans="1:27" x14ac:dyDescent="0.2">
      <c r="A38" s="76" t="s">
        <v>149</v>
      </c>
      <c r="B38" s="73">
        <f>B33*((1.025)^16)</f>
        <v>27.541339973478433</v>
      </c>
      <c r="C38" s="73">
        <f t="shared" si="21"/>
        <v>28.970913030644759</v>
      </c>
      <c r="D38" s="73">
        <f>B33*((1.025)^20)</f>
        <v>30.400486087811082</v>
      </c>
      <c r="E38" s="74">
        <f>E33*((1.025)^16)</f>
        <v>32.315169004031127</v>
      </c>
      <c r="F38" s="73">
        <f t="shared" si="22"/>
        <v>33.992534556703063</v>
      </c>
      <c r="G38" s="75">
        <f>E33*((1.025)^20)</f>
        <v>35.669900109374993</v>
      </c>
      <c r="H38" s="74">
        <f>H33*((1.025)^16)</f>
        <v>35.546685904434241</v>
      </c>
      <c r="I38" s="73">
        <f t="shared" si="23"/>
        <v>37.391788012373368</v>
      </c>
      <c r="J38" s="75">
        <f>H33*((1.025)^20)</f>
        <v>39.236890120312495</v>
      </c>
      <c r="K38" s="73">
        <f>K33*((1.025)^16)</f>
        <v>39.101354494877675</v>
      </c>
      <c r="L38" s="73">
        <f t="shared" si="24"/>
        <v>41.130966813610712</v>
      </c>
      <c r="M38" s="75">
        <f>K33*((1.025)^20)</f>
        <v>43.160579132343749</v>
      </c>
      <c r="N38" s="73" t="s">
        <v>433</v>
      </c>
      <c r="O38" s="73" t="s">
        <v>433</v>
      </c>
      <c r="P38" s="73" t="s">
        <v>433</v>
      </c>
      <c r="Q38" s="74" t="s">
        <v>433</v>
      </c>
      <c r="R38" s="73" t="s">
        <v>433</v>
      </c>
      <c r="S38" s="75" t="s">
        <v>433</v>
      </c>
      <c r="U38" s="1">
        <v>8</v>
      </c>
      <c r="V38" s="46">
        <f t="shared" si="15"/>
        <v>22.604460338829945</v>
      </c>
      <c r="W38" s="46">
        <f t="shared" si="16"/>
        <v>26.522564145304056</v>
      </c>
      <c r="X38" s="46">
        <f t="shared" si="17"/>
        <v>29.174820559834465</v>
      </c>
      <c r="Y38" s="46">
        <f t="shared" si="18"/>
        <v>32.092302615817914</v>
      </c>
      <c r="Z38" s="46" t="e">
        <f t="shared" si="20"/>
        <v>#VALUE!</v>
      </c>
      <c r="AA38" s="46" t="e">
        <f t="shared" si="20"/>
        <v>#VALUE!</v>
      </c>
    </row>
    <row r="39" spans="1:27" ht="15" x14ac:dyDescent="0.25">
      <c r="A39" s="44"/>
      <c r="B39" s="36"/>
      <c r="C39" s="46"/>
      <c r="D39" s="36"/>
      <c r="E39" s="81"/>
      <c r="F39" s="81"/>
      <c r="G39" s="81"/>
      <c r="H39" s="81"/>
      <c r="I39" s="73"/>
      <c r="J39" s="73"/>
      <c r="M39" s="40"/>
      <c r="P39" s="1"/>
      <c r="U39" s="1">
        <v>9</v>
      </c>
      <c r="V39" s="46">
        <f t="shared" si="15"/>
        <v>23.169571847300691</v>
      </c>
      <c r="W39" s="46">
        <f t="shared" si="16"/>
        <v>27.185628248936656</v>
      </c>
      <c r="X39" s="46">
        <f t="shared" si="17"/>
        <v>29.904191073830326</v>
      </c>
      <c r="Y39" s="46">
        <f t="shared" si="18"/>
        <v>32.894610181213359</v>
      </c>
      <c r="Z39" s="46" t="e">
        <f t="shared" ref="Z39:AA39" si="25">Z38+0.15</f>
        <v>#VALUE!</v>
      </c>
      <c r="AA39" s="46" t="e">
        <f t="shared" si="25"/>
        <v>#VALUE!</v>
      </c>
    </row>
    <row r="40" spans="1:27" x14ac:dyDescent="0.2">
      <c r="O40" s="40"/>
      <c r="P40" s="1"/>
      <c r="U40" s="1">
        <v>10</v>
      </c>
      <c r="V40" s="46">
        <f t="shared" si="15"/>
        <v>23.748811143483206</v>
      </c>
      <c r="W40" s="46">
        <f t="shared" si="16"/>
        <v>27.865268955160069</v>
      </c>
      <c r="X40" s="46">
        <f t="shared" si="17"/>
        <v>30.651795850676081</v>
      </c>
      <c r="Y40" s="46">
        <f t="shared" si="18"/>
        <v>33.716975435743691</v>
      </c>
      <c r="Z40" s="46" t="e">
        <f t="shared" ref="Z40:AA50" si="26">Z39+0.15</f>
        <v>#VALUE!</v>
      </c>
      <c r="AA40" s="46" t="e">
        <f t="shared" si="26"/>
        <v>#VALUE!</v>
      </c>
    </row>
    <row r="41" spans="1:27" x14ac:dyDescent="0.2">
      <c r="U41" s="1">
        <v>11</v>
      </c>
      <c r="V41" s="46">
        <f t="shared" si="15"/>
        <v>24.342531422070284</v>
      </c>
      <c r="W41" s="46">
        <f t="shared" si="16"/>
        <v>28.561900679039066</v>
      </c>
      <c r="X41" s="46">
        <f t="shared" si="17"/>
        <v>31.41809074694298</v>
      </c>
      <c r="Y41" s="46">
        <f t="shared" si="18"/>
        <v>34.559899821637281</v>
      </c>
      <c r="Z41" s="46" t="e">
        <f t="shared" si="26"/>
        <v>#VALUE!</v>
      </c>
      <c r="AA41" s="46" t="e">
        <f t="shared" si="26"/>
        <v>#VALUE!</v>
      </c>
    </row>
    <row r="42" spans="1:27" x14ac:dyDescent="0.2">
      <c r="U42" s="1">
        <v>12</v>
      </c>
      <c r="V42" s="46">
        <f t="shared" si="15"/>
        <v>24.95109470762204</v>
      </c>
      <c r="W42" s="46">
        <f t="shared" si="16"/>
        <v>29.27594819601504</v>
      </c>
      <c r="X42" s="46">
        <f t="shared" si="17"/>
        <v>32.203543015616553</v>
      </c>
      <c r="Y42" s="46">
        <f t="shared" si="18"/>
        <v>35.423897317178209</v>
      </c>
      <c r="Z42" s="46" t="e">
        <f t="shared" si="26"/>
        <v>#VALUE!</v>
      </c>
      <c r="AA42" s="46" t="e">
        <f t="shared" si="26"/>
        <v>#VALUE!</v>
      </c>
    </row>
    <row r="43" spans="1:27" x14ac:dyDescent="0.2">
      <c r="D43" s="83"/>
      <c r="U43" s="1">
        <v>13</v>
      </c>
      <c r="V43" s="46">
        <f t="shared" si="15"/>
        <v>25.574872075312591</v>
      </c>
      <c r="W43" s="46">
        <f t="shared" si="16"/>
        <v>30.007846900915414</v>
      </c>
      <c r="X43" s="46">
        <f t="shared" si="17"/>
        <v>33.008631591006967</v>
      </c>
      <c r="Y43" s="46">
        <f t="shared" si="18"/>
        <v>36.30949475010766</v>
      </c>
      <c r="Z43" s="46" t="e">
        <f t="shared" si="26"/>
        <v>#VALUE!</v>
      </c>
      <c r="AA43" s="46" t="e">
        <f t="shared" si="26"/>
        <v>#VALUE!</v>
      </c>
    </row>
    <row r="44" spans="1:27" x14ac:dyDescent="0.2">
      <c r="D44" s="83"/>
      <c r="G44" s="35"/>
      <c r="U44" s="1">
        <v>14</v>
      </c>
      <c r="V44" s="46">
        <f t="shared" si="15"/>
        <v>26.214243877195404</v>
      </c>
      <c r="W44" s="46">
        <f t="shared" si="16"/>
        <v>30.758043073438298</v>
      </c>
      <c r="X44" s="46">
        <f t="shared" si="17"/>
        <v>33.833847380782139</v>
      </c>
      <c r="Y44" s="46">
        <f t="shared" si="18"/>
        <v>37.217232118860352</v>
      </c>
      <c r="Z44" s="46" t="e">
        <f t="shared" si="26"/>
        <v>#VALUE!</v>
      </c>
      <c r="AA44" s="46" t="e">
        <f t="shared" si="26"/>
        <v>#VALUE!</v>
      </c>
    </row>
    <row r="45" spans="1:27" x14ac:dyDescent="0.2">
      <c r="D45" s="83"/>
      <c r="U45" s="1">
        <v>15</v>
      </c>
      <c r="V45" s="46">
        <f t="shared" si="15"/>
        <v>26.869599974125286</v>
      </c>
      <c r="W45" s="46">
        <f t="shared" si="16"/>
        <v>31.526994150274252</v>
      </c>
      <c r="X45" s="46">
        <f t="shared" si="17"/>
        <v>34.67969356530169</v>
      </c>
      <c r="Y45" s="46">
        <f t="shared" si="18"/>
        <v>38.147662921831859</v>
      </c>
      <c r="Z45" s="46" t="e">
        <f t="shared" si="26"/>
        <v>#VALUE!</v>
      </c>
      <c r="AA45" s="46" t="e">
        <f t="shared" si="26"/>
        <v>#VALUE!</v>
      </c>
    </row>
    <row r="46" spans="1:27" x14ac:dyDescent="0.2">
      <c r="U46" s="1">
        <v>16</v>
      </c>
      <c r="V46" s="46">
        <f t="shared" si="15"/>
        <v>27.541339973478415</v>
      </c>
      <c r="W46" s="46">
        <f t="shared" si="16"/>
        <v>32.315169004031105</v>
      </c>
      <c r="X46" s="46">
        <f t="shared" si="17"/>
        <v>35.546685904434227</v>
      </c>
      <c r="Y46" s="46">
        <f t="shared" si="18"/>
        <v>39.101354494877654</v>
      </c>
      <c r="Z46" s="46" t="e">
        <f t="shared" si="26"/>
        <v>#VALUE!</v>
      </c>
      <c r="AA46" s="46" t="e">
        <f t="shared" si="26"/>
        <v>#VALUE!</v>
      </c>
    </row>
    <row r="47" spans="1:27" x14ac:dyDescent="0.2">
      <c r="U47" s="1">
        <v>17</v>
      </c>
      <c r="V47" s="46">
        <f t="shared" si="15"/>
        <v>28.229873472815374</v>
      </c>
      <c r="W47" s="46">
        <f t="shared" si="16"/>
        <v>33.123048229131882</v>
      </c>
      <c r="X47" s="46">
        <f t="shared" si="17"/>
        <v>36.43535305204508</v>
      </c>
      <c r="Y47" s="46">
        <f t="shared" si="18"/>
        <v>40.078888357249589</v>
      </c>
      <c r="Z47" s="46" t="e">
        <f t="shared" si="26"/>
        <v>#VALUE!</v>
      </c>
      <c r="AA47" s="46" t="e">
        <f t="shared" si="26"/>
        <v>#VALUE!</v>
      </c>
    </row>
    <row r="48" spans="1:27" x14ac:dyDescent="0.2">
      <c r="U48" s="1">
        <v>18</v>
      </c>
      <c r="V48" s="46">
        <f t="shared" si="15"/>
        <v>28.935620309635755</v>
      </c>
      <c r="W48" s="46">
        <f t="shared" si="16"/>
        <v>33.951124434860176</v>
      </c>
      <c r="X48" s="46">
        <f t="shared" si="17"/>
        <v>37.346236878346204</v>
      </c>
      <c r="Y48" s="46">
        <f t="shared" si="18"/>
        <v>41.080860566180824</v>
      </c>
      <c r="Z48" s="46" t="e">
        <f t="shared" si="26"/>
        <v>#VALUE!</v>
      </c>
      <c r="AA48" s="46" t="e">
        <f t="shared" si="26"/>
        <v>#VALUE!</v>
      </c>
    </row>
    <row r="49" spans="21:27" x14ac:dyDescent="0.2">
      <c r="U49" s="1">
        <v>19</v>
      </c>
      <c r="V49" s="46">
        <f t="shared" si="15"/>
        <v>29.659010817376647</v>
      </c>
      <c r="W49" s="46">
        <f t="shared" si="16"/>
        <v>34.799902545731676</v>
      </c>
      <c r="X49" s="46">
        <f t="shared" si="17"/>
        <v>38.279892800304857</v>
      </c>
      <c r="Y49" s="46">
        <f t="shared" si="18"/>
        <v>42.107882080335344</v>
      </c>
      <c r="Z49" s="46" t="e">
        <f t="shared" si="26"/>
        <v>#VALUE!</v>
      </c>
      <c r="AA49" s="46" t="e">
        <f t="shared" si="26"/>
        <v>#VALUE!</v>
      </c>
    </row>
    <row r="50" spans="21:27" x14ac:dyDescent="0.2">
      <c r="U50" s="1">
        <v>20</v>
      </c>
      <c r="V50" s="46">
        <f t="shared" si="15"/>
        <v>30.400486087811061</v>
      </c>
      <c r="W50" s="46">
        <f t="shared" si="16"/>
        <v>35.669900109374964</v>
      </c>
      <c r="X50" s="46">
        <f t="shared" si="17"/>
        <v>39.236890120312474</v>
      </c>
      <c r="Y50" s="46">
        <f t="shared" si="18"/>
        <v>43.16057913234372</v>
      </c>
      <c r="Z50" s="46" t="e">
        <f t="shared" si="26"/>
        <v>#VALUE!</v>
      </c>
      <c r="AA50" s="46" t="e">
        <f t="shared" si="26"/>
        <v>#VALUE!</v>
      </c>
    </row>
  </sheetData>
  <mergeCells count="47">
    <mergeCell ref="N31:P31"/>
    <mergeCell ref="Q31:S31"/>
    <mergeCell ref="V28:AA28"/>
    <mergeCell ref="N30:P30"/>
    <mergeCell ref="Q30:S30"/>
    <mergeCell ref="A30:A32"/>
    <mergeCell ref="B30:D30"/>
    <mergeCell ref="E30:G30"/>
    <mergeCell ref="H30:J30"/>
    <mergeCell ref="K30:M30"/>
    <mergeCell ref="B31:D31"/>
    <mergeCell ref="E31:G31"/>
    <mergeCell ref="H31:J31"/>
    <mergeCell ref="K31:M31"/>
    <mergeCell ref="Q16:S16"/>
    <mergeCell ref="B17:D17"/>
    <mergeCell ref="E17:G17"/>
    <mergeCell ref="H17:J17"/>
    <mergeCell ref="K17:M17"/>
    <mergeCell ref="N17:P17"/>
    <mergeCell ref="Q17:S17"/>
    <mergeCell ref="K16:M16"/>
    <mergeCell ref="N16:P16"/>
    <mergeCell ref="A7:H7"/>
    <mergeCell ref="A9:H9"/>
    <mergeCell ref="A16:A18"/>
    <mergeCell ref="B16:D16"/>
    <mergeCell ref="E16:G16"/>
    <mergeCell ref="H16:J16"/>
    <mergeCell ref="A1:R1"/>
    <mergeCell ref="A3:A5"/>
    <mergeCell ref="B3:C3"/>
    <mergeCell ref="D3:E3"/>
    <mergeCell ref="I3:J3"/>
    <mergeCell ref="N4:N5"/>
    <mergeCell ref="O4:O5"/>
    <mergeCell ref="M4:M5"/>
    <mergeCell ref="F4:F5"/>
    <mergeCell ref="G4:G5"/>
    <mergeCell ref="H4:H5"/>
    <mergeCell ref="I4:J4"/>
    <mergeCell ref="K4:L4"/>
    <mergeCell ref="V3:AA3"/>
    <mergeCell ref="B4:B5"/>
    <mergeCell ref="C4:C5"/>
    <mergeCell ref="D4:D5"/>
    <mergeCell ref="E4:E5"/>
  </mergeCells>
  <pageMargins left="0.7" right="0.7" top="0.75" bottom="0.75" header="0.3" footer="0.3"/>
  <pageSetup orientation="portrait" r:id="rId1"/>
  <ignoredErrors>
    <ignoredError sqref="L7:L8" formula="1"/>
  </ignoredError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ED4D0-F531-4DAB-8E79-984D32FA915F}">
  <sheetPr>
    <tabColor rgb="FF605677"/>
  </sheetPr>
  <dimension ref="A1:AH12"/>
  <sheetViews>
    <sheetView zoomScaleNormal="100" workbookViewId="0">
      <selection activeCell="F6" sqref="F6:F1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436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3" spans="1:26" ht="20.25" x14ac:dyDescent="0.3">
      <c r="A3" s="172"/>
      <c r="B3" s="172"/>
      <c r="C3" s="172"/>
      <c r="D3" s="172"/>
      <c r="E3" s="172"/>
      <c r="F3" s="172"/>
      <c r="G3" s="172"/>
      <c r="H3" s="172"/>
      <c r="I3" s="172"/>
      <c r="J3" s="172"/>
      <c r="K3" s="172"/>
      <c r="L3" s="172"/>
      <c r="M3" s="172"/>
      <c r="N3" s="172"/>
      <c r="O3" s="172"/>
    </row>
    <row r="4" spans="1:26" ht="15.75" x14ac:dyDescent="0.25">
      <c r="A4" s="314" t="s">
        <v>154</v>
      </c>
      <c r="B4" s="314"/>
      <c r="C4" s="314"/>
      <c r="E4" s="314" t="s">
        <v>155</v>
      </c>
      <c r="F4" s="314"/>
      <c r="G4" s="314"/>
      <c r="I4" s="314" t="s">
        <v>156</v>
      </c>
      <c r="J4" s="314"/>
      <c r="K4" s="314"/>
      <c r="M4" s="34" t="s">
        <v>157</v>
      </c>
      <c r="N4" s="34"/>
      <c r="O4" s="34"/>
    </row>
    <row r="5" spans="1:26" x14ac:dyDescent="0.25">
      <c r="A5" s="16" t="s">
        <v>158</v>
      </c>
      <c r="B5" s="16" t="s">
        <v>159</v>
      </c>
      <c r="C5" s="16" t="s">
        <v>160</v>
      </c>
      <c r="E5" s="16" t="s">
        <v>158</v>
      </c>
      <c r="F5" s="16" t="s">
        <v>159</v>
      </c>
      <c r="G5" s="16" t="s">
        <v>160</v>
      </c>
      <c r="I5" s="25" t="s">
        <v>161</v>
      </c>
      <c r="J5" s="16" t="s">
        <v>159</v>
      </c>
      <c r="K5" s="16" t="s">
        <v>160</v>
      </c>
      <c r="M5" s="25" t="s">
        <v>162</v>
      </c>
      <c r="N5" s="16" t="s">
        <v>159</v>
      </c>
      <c r="O5" s="16" t="s">
        <v>160</v>
      </c>
    </row>
    <row r="6" spans="1:26" x14ac:dyDescent="0.25">
      <c r="A6" s="17" t="s">
        <v>163</v>
      </c>
      <c r="B6" s="18">
        <v>53</v>
      </c>
      <c r="C6" s="19">
        <v>1.0927835051546392E-2</v>
      </c>
      <c r="E6" s="23" t="s">
        <v>164</v>
      </c>
      <c r="F6" s="18">
        <f>4850*G6</f>
        <v>97</v>
      </c>
      <c r="G6" s="19">
        <v>0.02</v>
      </c>
      <c r="I6" s="23" t="s">
        <v>165</v>
      </c>
      <c r="J6" s="18">
        <v>3821</v>
      </c>
      <c r="K6" s="19">
        <v>0.78783505154639177</v>
      </c>
      <c r="M6" s="23" t="s">
        <v>166</v>
      </c>
      <c r="N6" s="18">
        <v>1340</v>
      </c>
      <c r="O6" s="19">
        <v>0.27628865979381445</v>
      </c>
    </row>
    <row r="7" spans="1:26" x14ac:dyDescent="0.25">
      <c r="A7" s="20" t="s">
        <v>167</v>
      </c>
      <c r="B7" s="21">
        <v>517</v>
      </c>
      <c r="C7" s="22">
        <v>0.1065979381443299</v>
      </c>
      <c r="E7" s="24" t="s">
        <v>168</v>
      </c>
      <c r="F7" s="18">
        <f t="shared" ref="F7:F12" si="0">4850*G7</f>
        <v>528.65</v>
      </c>
      <c r="G7" s="19">
        <v>0.109</v>
      </c>
      <c r="I7" s="24" t="s">
        <v>169</v>
      </c>
      <c r="J7" s="21">
        <v>554</v>
      </c>
      <c r="K7" s="19">
        <v>0.11422680412371133</v>
      </c>
      <c r="M7" s="24" t="s">
        <v>170</v>
      </c>
      <c r="N7" s="21">
        <v>3511</v>
      </c>
      <c r="O7" s="22">
        <v>0.7239175257731959</v>
      </c>
    </row>
    <row r="8" spans="1:26" x14ac:dyDescent="0.25">
      <c r="A8" s="20" t="s">
        <v>171</v>
      </c>
      <c r="B8" s="21">
        <v>940</v>
      </c>
      <c r="C8" s="22">
        <v>0.19381443298969073</v>
      </c>
      <c r="E8" s="24" t="s">
        <v>172</v>
      </c>
      <c r="F8" s="18">
        <f t="shared" si="0"/>
        <v>858.44999999999993</v>
      </c>
      <c r="G8" s="19">
        <v>0.17699999999999999</v>
      </c>
      <c r="I8" s="24" t="s">
        <v>173</v>
      </c>
      <c r="J8" s="21">
        <v>212</v>
      </c>
      <c r="K8" s="19">
        <v>4.371134020618557E-2</v>
      </c>
    </row>
    <row r="9" spans="1:26" x14ac:dyDescent="0.25">
      <c r="A9" s="20" t="s">
        <v>174</v>
      </c>
      <c r="B9" s="21">
        <v>1108</v>
      </c>
      <c r="C9" s="22">
        <v>0.22845360824742267</v>
      </c>
      <c r="E9" s="24" t="s">
        <v>175</v>
      </c>
      <c r="F9" s="18">
        <f t="shared" si="0"/>
        <v>417.09999999999997</v>
      </c>
      <c r="G9" s="19">
        <v>8.5999999999999993E-2</v>
      </c>
      <c r="I9" s="24" t="s">
        <v>176</v>
      </c>
      <c r="J9" s="21">
        <v>145</v>
      </c>
      <c r="K9" s="19">
        <v>2.9896907216494847E-2</v>
      </c>
    </row>
    <row r="10" spans="1:26" x14ac:dyDescent="0.25">
      <c r="A10" s="20" t="s">
        <v>177</v>
      </c>
      <c r="B10" s="21">
        <v>1049</v>
      </c>
      <c r="C10" s="22">
        <v>0.21628865979381443</v>
      </c>
      <c r="E10" s="24" t="s">
        <v>178</v>
      </c>
      <c r="F10" s="18">
        <f t="shared" si="0"/>
        <v>1746</v>
      </c>
      <c r="G10" s="19">
        <v>0.36</v>
      </c>
      <c r="I10" s="24" t="s">
        <v>179</v>
      </c>
      <c r="J10" s="21">
        <v>107</v>
      </c>
      <c r="K10" s="19">
        <v>2.2061855670103093E-2</v>
      </c>
    </row>
    <row r="11" spans="1:26" x14ac:dyDescent="0.25">
      <c r="A11" s="20" t="s">
        <v>180</v>
      </c>
      <c r="B11" s="21">
        <v>775</v>
      </c>
      <c r="C11" s="22">
        <v>0.15979381443298968</v>
      </c>
      <c r="E11" s="24" t="s">
        <v>181</v>
      </c>
      <c r="F11" s="18">
        <f t="shared" si="0"/>
        <v>979.7</v>
      </c>
      <c r="G11" s="19">
        <v>0.20200000000000001</v>
      </c>
      <c r="I11" s="24" t="s">
        <v>182</v>
      </c>
      <c r="J11" s="21">
        <v>11</v>
      </c>
      <c r="K11" s="19">
        <v>2.268041237113402E-3</v>
      </c>
    </row>
    <row r="12" spans="1:26" x14ac:dyDescent="0.25">
      <c r="A12" s="20" t="s">
        <v>183</v>
      </c>
      <c r="B12" s="21">
        <v>408</v>
      </c>
      <c r="C12" s="22">
        <v>8.4123711340206186E-2</v>
      </c>
      <c r="E12" s="24" t="s">
        <v>184</v>
      </c>
      <c r="F12" s="18">
        <f t="shared" si="0"/>
        <v>223.1</v>
      </c>
      <c r="G12" s="19">
        <v>4.5999999999999999E-2</v>
      </c>
      <c r="I12" s="24" t="s">
        <v>185</v>
      </c>
      <c r="J12" s="21">
        <v>0</v>
      </c>
      <c r="K12" s="19">
        <v>0</v>
      </c>
    </row>
  </sheetData>
  <mergeCells count="4">
    <mergeCell ref="A1:Z1"/>
    <mergeCell ref="A4:C4"/>
    <mergeCell ref="E4:G4"/>
    <mergeCell ref="I4:K4"/>
  </mergeCells>
  <pageMargins left="0.7" right="0.7" top="0.75" bottom="0.75"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3A5FA-C7B7-4F71-BB48-A1CD42093362}">
  <sheetPr>
    <tabColor rgb="FF605677"/>
  </sheetPr>
  <dimension ref="A1:Z56"/>
  <sheetViews>
    <sheetView zoomScaleNormal="100" workbookViewId="0">
      <selection activeCell="A2" sqref="A2"/>
    </sheetView>
  </sheetViews>
  <sheetFormatPr defaultRowHeight="15" x14ac:dyDescent="0.25"/>
  <cols>
    <col min="1" max="1" width="37.5703125" bestFit="1" customWidth="1"/>
    <col min="2" max="2" width="12.28515625" customWidth="1"/>
    <col min="3" max="3" width="12.42578125" customWidth="1"/>
    <col min="4" max="4" width="14.285156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437</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438</v>
      </c>
      <c r="B4" s="318"/>
      <c r="C4" s="318"/>
      <c r="D4" s="318"/>
      <c r="E4" s="318"/>
      <c r="F4" s="318"/>
      <c r="G4" s="318"/>
      <c r="H4" s="318"/>
    </row>
    <row r="5" spans="1:26" ht="36" customHeight="1" x14ac:dyDescent="0.25">
      <c r="A5" s="316" t="s">
        <v>188</v>
      </c>
      <c r="B5" s="317" t="s">
        <v>189</v>
      </c>
      <c r="C5" s="317" t="s">
        <v>190</v>
      </c>
      <c r="D5" s="317" t="s">
        <v>439</v>
      </c>
      <c r="E5" s="317" t="s">
        <v>192</v>
      </c>
      <c r="F5" s="317"/>
      <c r="G5" s="317" t="s">
        <v>193</v>
      </c>
      <c r="H5" s="317"/>
      <c r="P5"/>
      <c r="R5" s="10"/>
    </row>
    <row r="6" spans="1:26" ht="15.75" thickBot="1" x14ac:dyDescent="0.3">
      <c r="A6" s="316"/>
      <c r="B6" s="317"/>
      <c r="C6" s="317"/>
      <c r="D6" s="319"/>
      <c r="E6" s="163" t="s">
        <v>194</v>
      </c>
      <c r="F6" s="163" t="s">
        <v>195</v>
      </c>
      <c r="G6" s="163" t="s">
        <v>194</v>
      </c>
      <c r="H6" s="163" t="s">
        <v>195</v>
      </c>
      <c r="P6"/>
      <c r="R6" s="10"/>
    </row>
    <row r="7" spans="1:26" ht="15.75" thickBot="1" x14ac:dyDescent="0.3">
      <c r="A7" s="198" t="s">
        <v>440</v>
      </c>
      <c r="B7" s="199">
        <v>1</v>
      </c>
      <c r="C7" s="200">
        <v>14.09</v>
      </c>
      <c r="D7" s="201" t="s">
        <v>59</v>
      </c>
      <c r="E7" s="202">
        <f t="shared" ref="E7:E12" si="0">W19-B19</f>
        <v>-6938</v>
      </c>
      <c r="F7" s="203">
        <f t="shared" ref="F7" si="1">W29</f>
        <v>-0.58856464200882253</v>
      </c>
      <c r="G7" s="204">
        <f t="shared" ref="G7:G12" si="2">S38-B38</f>
        <v>-0.28000000000000114</v>
      </c>
      <c r="H7" s="205">
        <f t="shared" ref="H7" si="3">S48</f>
        <v>-1.8276762402088847E-2</v>
      </c>
      <c r="P7"/>
      <c r="R7" s="10"/>
    </row>
    <row r="8" spans="1:26" ht="15.75" thickTop="1" x14ac:dyDescent="0.25">
      <c r="A8" s="179" t="s">
        <v>197</v>
      </c>
      <c r="B8" s="165">
        <v>0.96</v>
      </c>
      <c r="C8" s="186">
        <v>29.86</v>
      </c>
      <c r="D8" s="188">
        <f>C8-14.09</f>
        <v>15.77</v>
      </c>
      <c r="E8" s="175">
        <f t="shared" si="0"/>
        <v>-2729</v>
      </c>
      <c r="F8" s="174">
        <f>W30</f>
        <v>-0.69706257982120046</v>
      </c>
      <c r="G8" s="176">
        <f t="shared" si="2"/>
        <v>6.3299999999999983</v>
      </c>
      <c r="H8" s="178">
        <f>S49</f>
        <v>0.26901827454313632</v>
      </c>
      <c r="P8"/>
      <c r="R8" s="10"/>
    </row>
    <row r="9" spans="1:26" x14ac:dyDescent="0.25">
      <c r="A9" s="179" t="s">
        <v>198</v>
      </c>
      <c r="B9" s="165">
        <v>0.96</v>
      </c>
      <c r="C9" s="186">
        <v>20.97</v>
      </c>
      <c r="D9" s="188">
        <f t="shared" ref="D9:D12" si="4">C9-14.09</f>
        <v>6.879999999999999</v>
      </c>
      <c r="E9" s="175">
        <f t="shared" si="0"/>
        <v>3773</v>
      </c>
      <c r="F9" s="174">
        <f>W31</f>
        <v>0.64728083719334362</v>
      </c>
      <c r="G9" s="176">
        <f t="shared" si="2"/>
        <v>5.3299999999999983</v>
      </c>
      <c r="H9" s="178">
        <f>S50</f>
        <v>0.3407928388746802</v>
      </c>
      <c r="P9"/>
      <c r="R9" s="10"/>
    </row>
    <row r="10" spans="1:26" x14ac:dyDescent="0.25">
      <c r="A10" s="179" t="s">
        <v>352</v>
      </c>
      <c r="B10" s="165">
        <v>0.95</v>
      </c>
      <c r="C10" s="186">
        <v>15.09</v>
      </c>
      <c r="D10" s="222">
        <f t="shared" si="4"/>
        <v>1</v>
      </c>
      <c r="E10" s="175">
        <f t="shared" si="0"/>
        <v>2701</v>
      </c>
      <c r="F10" s="174">
        <f>W32</f>
        <v>0.70892388451443566</v>
      </c>
      <c r="G10" s="176">
        <f t="shared" si="2"/>
        <v>0.1899999999999995</v>
      </c>
      <c r="H10" s="178">
        <f>S51</f>
        <v>1.275167785234896E-2</v>
      </c>
      <c r="P10"/>
      <c r="R10" s="10"/>
    </row>
    <row r="11" spans="1:26" x14ac:dyDescent="0.25">
      <c r="A11" s="179" t="s">
        <v>353</v>
      </c>
      <c r="B11" s="165">
        <v>0.92</v>
      </c>
      <c r="C11" s="186">
        <v>19.28</v>
      </c>
      <c r="D11" s="188">
        <f t="shared" si="4"/>
        <v>5.1900000000000013</v>
      </c>
      <c r="E11" s="175">
        <f t="shared" si="0"/>
        <v>-10184</v>
      </c>
      <c r="F11" s="174">
        <f>W33</f>
        <v>-0.18745743368858947</v>
      </c>
      <c r="G11" s="176">
        <f t="shared" si="2"/>
        <v>5.6700000000000017</v>
      </c>
      <c r="H11" s="178">
        <f>S52</f>
        <v>0.41660543717854531</v>
      </c>
      <c r="P11"/>
      <c r="R11" s="10"/>
    </row>
    <row r="12" spans="1:26" ht="15.75" thickBot="1" x14ac:dyDescent="0.3">
      <c r="A12" s="180" t="s">
        <v>354</v>
      </c>
      <c r="B12" s="181">
        <v>0.92</v>
      </c>
      <c r="C12" s="187">
        <v>17.98</v>
      </c>
      <c r="D12" s="189">
        <f t="shared" si="4"/>
        <v>3.8900000000000006</v>
      </c>
      <c r="E12" s="182">
        <f t="shared" si="0"/>
        <v>16507</v>
      </c>
      <c r="F12" s="183">
        <f>W34</f>
        <v>0.2428642890772128</v>
      </c>
      <c r="G12" s="184">
        <f t="shared" si="2"/>
        <v>3.7100000000000009</v>
      </c>
      <c r="H12" s="185">
        <f>S53</f>
        <v>0.2599859845830414</v>
      </c>
      <c r="P12"/>
      <c r="R12" s="10"/>
    </row>
    <row r="13" spans="1:26" x14ac:dyDescent="0.25">
      <c r="A13" s="1"/>
      <c r="B13" s="35"/>
      <c r="C13" s="36"/>
      <c r="D13" s="36"/>
    </row>
    <row r="14" spans="1:26" x14ac:dyDescent="0.25">
      <c r="G14" s="219"/>
    </row>
    <row r="17" spans="1:26" ht="15.75" x14ac:dyDescent="0.25">
      <c r="A17" s="315" t="s">
        <v>441</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90" t="s">
        <v>188</v>
      </c>
      <c r="B18" s="191">
        <v>2001</v>
      </c>
      <c r="C18" s="191">
        <v>2002</v>
      </c>
      <c r="D18" s="191">
        <v>2003</v>
      </c>
      <c r="E18" s="191">
        <v>2004</v>
      </c>
      <c r="F18" s="191">
        <v>2005</v>
      </c>
      <c r="G18" s="191">
        <v>2006</v>
      </c>
      <c r="H18" s="191">
        <v>2007</v>
      </c>
      <c r="I18" s="191">
        <v>2008</v>
      </c>
      <c r="J18" s="191">
        <v>2009</v>
      </c>
      <c r="K18" s="191">
        <v>2010</v>
      </c>
      <c r="L18" s="191">
        <v>2011</v>
      </c>
      <c r="M18" s="191">
        <v>2012</v>
      </c>
      <c r="N18" s="191">
        <v>2013</v>
      </c>
      <c r="O18" s="191">
        <v>2014</v>
      </c>
      <c r="P18" s="191">
        <v>2015</v>
      </c>
      <c r="Q18" s="191">
        <v>2016</v>
      </c>
      <c r="R18" s="191">
        <v>2017</v>
      </c>
      <c r="S18" s="191">
        <v>2018</v>
      </c>
      <c r="T18" s="191">
        <v>2019</v>
      </c>
      <c r="U18" s="191">
        <v>2020</v>
      </c>
      <c r="V18" s="191">
        <v>2021</v>
      </c>
      <c r="W18" s="191">
        <v>2022</v>
      </c>
    </row>
    <row r="19" spans="1:26" ht="15.75" thickBot="1" x14ac:dyDescent="0.3">
      <c r="A19" s="166" t="s">
        <v>440</v>
      </c>
      <c r="B19" s="167">
        <v>11788</v>
      </c>
      <c r="C19" s="167">
        <v>12994</v>
      </c>
      <c r="D19" s="167">
        <v>14730</v>
      </c>
      <c r="E19" s="167">
        <v>15293</v>
      </c>
      <c r="F19" s="167">
        <v>15971</v>
      </c>
      <c r="G19" s="167">
        <v>16948</v>
      </c>
      <c r="H19" s="167">
        <v>15286</v>
      </c>
      <c r="I19" s="167">
        <v>16130</v>
      </c>
      <c r="J19" s="167">
        <v>16969</v>
      </c>
      <c r="K19" s="167">
        <v>16839</v>
      </c>
      <c r="L19" s="167">
        <v>18416</v>
      </c>
      <c r="M19" s="167">
        <v>19984</v>
      </c>
      <c r="N19" s="167">
        <v>20129</v>
      </c>
      <c r="O19" s="167">
        <v>19461</v>
      </c>
      <c r="P19" s="167">
        <v>20274</v>
      </c>
      <c r="Q19" s="167">
        <v>17889</v>
      </c>
      <c r="R19" s="167">
        <v>16823</v>
      </c>
      <c r="S19" s="167">
        <v>12657</v>
      </c>
      <c r="T19" s="167">
        <v>9202</v>
      </c>
      <c r="U19" s="167">
        <v>5328</v>
      </c>
      <c r="V19" s="167">
        <v>3931</v>
      </c>
      <c r="W19" s="167">
        <v>4850</v>
      </c>
    </row>
    <row r="20" spans="1:26" ht="15.75" thickTop="1" x14ac:dyDescent="0.25">
      <c r="A20" s="143" t="s">
        <v>197</v>
      </c>
      <c r="B20" s="146">
        <v>3915</v>
      </c>
      <c r="C20" s="146">
        <v>3934</v>
      </c>
      <c r="D20" s="146">
        <v>3857</v>
      </c>
      <c r="E20" s="146">
        <v>3783</v>
      </c>
      <c r="F20" s="146">
        <v>3769</v>
      </c>
      <c r="G20" s="146">
        <v>3011</v>
      </c>
      <c r="H20" s="146">
        <v>2784</v>
      </c>
      <c r="I20" s="146">
        <v>2706</v>
      </c>
      <c r="J20" s="146">
        <v>2858</v>
      </c>
      <c r="K20" s="146">
        <v>2798</v>
      </c>
      <c r="L20" s="146">
        <v>2720</v>
      </c>
      <c r="M20" s="146">
        <v>2659</v>
      </c>
      <c r="N20" s="146">
        <v>2658</v>
      </c>
      <c r="O20" s="146">
        <v>2714</v>
      </c>
      <c r="P20" s="146">
        <v>2502</v>
      </c>
      <c r="Q20" s="146">
        <v>2130</v>
      </c>
      <c r="R20" s="146">
        <v>1750</v>
      </c>
      <c r="S20" s="146">
        <v>1559</v>
      </c>
      <c r="T20" s="146">
        <v>1422</v>
      </c>
      <c r="U20" s="146">
        <v>1252</v>
      </c>
      <c r="V20" s="146">
        <v>1200</v>
      </c>
      <c r="W20" s="146">
        <v>1186</v>
      </c>
    </row>
    <row r="21" spans="1:26" x14ac:dyDescent="0.25">
      <c r="A21" s="143" t="s">
        <v>198</v>
      </c>
      <c r="B21" s="144">
        <v>5829</v>
      </c>
      <c r="C21" s="144">
        <v>6138</v>
      </c>
      <c r="D21" s="144">
        <v>6453</v>
      </c>
      <c r="E21" s="144">
        <v>6646</v>
      </c>
      <c r="F21" s="144">
        <v>7035</v>
      </c>
      <c r="G21" s="144">
        <v>7189</v>
      </c>
      <c r="H21" s="144">
        <v>7475</v>
      </c>
      <c r="I21" s="144">
        <v>7517</v>
      </c>
      <c r="J21" s="144">
        <v>7177</v>
      </c>
      <c r="K21" s="144">
        <v>7051</v>
      </c>
      <c r="L21" s="144">
        <v>7518</v>
      </c>
      <c r="M21" s="144">
        <v>7607</v>
      </c>
      <c r="N21" s="144">
        <v>7701</v>
      </c>
      <c r="O21" s="144">
        <v>7814</v>
      </c>
      <c r="P21" s="144">
        <v>8026</v>
      </c>
      <c r="Q21" s="144">
        <v>8359</v>
      </c>
      <c r="R21" s="144">
        <v>8936</v>
      </c>
      <c r="S21" s="144">
        <v>9115</v>
      </c>
      <c r="T21" s="144">
        <v>9381</v>
      </c>
      <c r="U21" s="144">
        <v>8454</v>
      </c>
      <c r="V21" s="144">
        <v>8722</v>
      </c>
      <c r="W21" s="144">
        <v>9602</v>
      </c>
    </row>
    <row r="22" spans="1:26" x14ac:dyDescent="0.25">
      <c r="A22" s="143" t="s">
        <v>352</v>
      </c>
      <c r="B22" s="144">
        <v>3810</v>
      </c>
      <c r="C22" s="144">
        <v>4112</v>
      </c>
      <c r="D22" s="144">
        <v>4428</v>
      </c>
      <c r="E22" s="144">
        <v>4624</v>
      </c>
      <c r="F22" s="144">
        <v>4866</v>
      </c>
      <c r="G22" s="144">
        <v>5157</v>
      </c>
      <c r="H22" s="144">
        <v>5023</v>
      </c>
      <c r="I22" s="144">
        <v>4966</v>
      </c>
      <c r="J22" s="144">
        <v>4996</v>
      </c>
      <c r="K22" s="144">
        <v>5029</v>
      </c>
      <c r="L22" s="144">
        <v>5507</v>
      </c>
      <c r="M22" s="144">
        <v>5737</v>
      </c>
      <c r="N22" s="144">
        <v>5543</v>
      </c>
      <c r="O22" s="144">
        <v>5363</v>
      </c>
      <c r="P22" s="144">
        <v>5310</v>
      </c>
      <c r="Q22" s="144">
        <v>5511</v>
      </c>
      <c r="R22" s="144">
        <v>5684</v>
      </c>
      <c r="S22" s="144">
        <v>5878</v>
      </c>
      <c r="T22" s="144">
        <v>5854</v>
      </c>
      <c r="U22" s="144">
        <v>5448</v>
      </c>
      <c r="V22" s="144">
        <v>5673</v>
      </c>
      <c r="W22" s="144">
        <v>6511</v>
      </c>
    </row>
    <row r="23" spans="1:26" x14ac:dyDescent="0.25">
      <c r="A23" s="179" t="s">
        <v>353</v>
      </c>
      <c r="B23" s="146">
        <v>54327</v>
      </c>
      <c r="C23" s="146">
        <v>54837</v>
      </c>
      <c r="D23" s="146">
        <v>55248</v>
      </c>
      <c r="E23" s="146">
        <v>55562</v>
      </c>
      <c r="F23" s="146">
        <v>55968</v>
      </c>
      <c r="G23" s="146">
        <v>52810</v>
      </c>
      <c r="H23" s="146">
        <v>52793</v>
      </c>
      <c r="I23" s="146">
        <v>52263</v>
      </c>
      <c r="J23" s="146">
        <v>49101</v>
      </c>
      <c r="K23" s="146">
        <v>50598</v>
      </c>
      <c r="L23" s="146">
        <v>54528</v>
      </c>
      <c r="M23" s="146">
        <v>59165</v>
      </c>
      <c r="N23" s="146">
        <v>61314</v>
      </c>
      <c r="O23" s="146">
        <v>63256</v>
      </c>
      <c r="P23" s="146">
        <v>65513</v>
      </c>
      <c r="Q23" s="146">
        <v>66905</v>
      </c>
      <c r="R23" s="146">
        <v>64465</v>
      </c>
      <c r="S23" s="146">
        <v>59305</v>
      </c>
      <c r="T23" s="146">
        <v>52894</v>
      </c>
      <c r="U23" s="146">
        <v>44987</v>
      </c>
      <c r="V23" s="146">
        <v>44158</v>
      </c>
      <c r="W23" s="146">
        <v>44143</v>
      </c>
    </row>
    <row r="24" spans="1:26" x14ac:dyDescent="0.25">
      <c r="A24" s="143" t="s">
        <v>354</v>
      </c>
      <c r="B24" s="146">
        <v>67968</v>
      </c>
      <c r="C24" s="146">
        <v>67468</v>
      </c>
      <c r="D24" s="146">
        <v>67795</v>
      </c>
      <c r="E24" s="146">
        <v>67998</v>
      </c>
      <c r="F24" s="146">
        <v>68527</v>
      </c>
      <c r="G24" s="146">
        <v>69315</v>
      </c>
      <c r="H24" s="146">
        <v>68778</v>
      </c>
      <c r="I24" s="146">
        <v>68499</v>
      </c>
      <c r="J24" s="146">
        <v>66009</v>
      </c>
      <c r="K24" s="146">
        <v>70055</v>
      </c>
      <c r="L24" s="146">
        <v>74111</v>
      </c>
      <c r="M24" s="146">
        <v>77189</v>
      </c>
      <c r="N24" s="146">
        <v>79363</v>
      </c>
      <c r="O24" s="146">
        <v>82534</v>
      </c>
      <c r="P24" s="146">
        <v>84609</v>
      </c>
      <c r="Q24" s="146">
        <v>87635</v>
      </c>
      <c r="R24" s="146">
        <v>88436</v>
      </c>
      <c r="S24" s="146">
        <v>90288</v>
      </c>
      <c r="T24" s="146">
        <v>89880</v>
      </c>
      <c r="U24" s="146">
        <v>83118</v>
      </c>
      <c r="V24" s="146">
        <v>82563</v>
      </c>
      <c r="W24" s="146">
        <v>84475</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442</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90" t="s">
        <v>188</v>
      </c>
      <c r="B28" s="191">
        <v>2001</v>
      </c>
      <c r="C28" s="191">
        <v>2002</v>
      </c>
      <c r="D28" s="191">
        <v>2003</v>
      </c>
      <c r="E28" s="191">
        <v>2004</v>
      </c>
      <c r="F28" s="191">
        <v>2005</v>
      </c>
      <c r="G28" s="191">
        <v>2006</v>
      </c>
      <c r="H28" s="191">
        <v>2007</v>
      </c>
      <c r="I28" s="191">
        <v>2008</v>
      </c>
      <c r="J28" s="191">
        <v>2009</v>
      </c>
      <c r="K28" s="191">
        <v>2010</v>
      </c>
      <c r="L28" s="191">
        <v>2011</v>
      </c>
      <c r="M28" s="191">
        <v>2012</v>
      </c>
      <c r="N28" s="191">
        <v>2013</v>
      </c>
      <c r="O28" s="191">
        <v>2014</v>
      </c>
      <c r="P28" s="191">
        <v>2015</v>
      </c>
      <c r="Q28" s="191">
        <v>2016</v>
      </c>
      <c r="R28" s="191">
        <v>2017</v>
      </c>
      <c r="S28" s="191">
        <v>2018</v>
      </c>
      <c r="T28" s="191">
        <v>2019</v>
      </c>
      <c r="U28" s="191">
        <v>2020</v>
      </c>
      <c r="V28" s="191">
        <v>2021</v>
      </c>
      <c r="W28" s="191">
        <v>2022</v>
      </c>
    </row>
    <row r="29" spans="1:26" ht="15.75" thickBot="1" x14ac:dyDescent="0.3">
      <c r="A29" s="166" t="s">
        <v>440</v>
      </c>
      <c r="B29" s="168">
        <f t="shared" ref="B29:B34" si="5">(B19-B19)/B19</f>
        <v>0</v>
      </c>
      <c r="C29" s="168">
        <f t="shared" ref="C29:C34" si="6">(C19-B19)/B19</f>
        <v>0.10230743128605362</v>
      </c>
      <c r="D29" s="168">
        <f t="shared" ref="D29:D34" si="7">(D19-B19)/B19</f>
        <v>0.2495758398371225</v>
      </c>
      <c r="E29" s="168">
        <f t="shared" ref="E29:E34" si="8">(E19-B19)/B19</f>
        <v>0.29733627417712927</v>
      </c>
      <c r="F29" s="168">
        <f t="shared" ref="F29:F34" si="9">(F19-B19)/B19</f>
        <v>0.35485239226331861</v>
      </c>
      <c r="G29" s="168">
        <f t="shared" ref="G29:G34" si="10">(G19-B19)/B19</f>
        <v>0.43773328808958262</v>
      </c>
      <c r="H29" s="168">
        <f t="shared" ref="H29:H34" si="11">(H19-B19)/B19</f>
        <v>0.29674244994910076</v>
      </c>
      <c r="I29" s="168">
        <f t="shared" ref="I29:I34" si="12">(I19-B19)/B19</f>
        <v>0.36834068544282322</v>
      </c>
      <c r="J29" s="168">
        <f t="shared" ref="J29:J34" si="13">(J19-B19)/B19</f>
        <v>0.43951476077366813</v>
      </c>
      <c r="K29" s="168">
        <f t="shared" ref="K29:K34" si="14">(K19-B19)/B19</f>
        <v>0.42848659653885307</v>
      </c>
      <c r="L29" s="168">
        <f t="shared" ref="L29:L34" si="15">(L19-B19)/B19</f>
        <v>0.56226671191041733</v>
      </c>
      <c r="M29" s="168">
        <f t="shared" ref="M29:M34" si="16">(M19-B19)/B19</f>
        <v>0.69528333898880212</v>
      </c>
      <c r="N29" s="168">
        <f t="shared" ref="N29:N34" si="17">(N19-B19)/B19</f>
        <v>0.70758398371224973</v>
      </c>
      <c r="O29" s="168">
        <f t="shared" ref="O29:O34" si="18">(O19-B19)/B19</f>
        <v>0.65091618595181544</v>
      </c>
      <c r="P29" s="168">
        <f t="shared" ref="P29:P34" si="19">(P19-B19)/B19</f>
        <v>0.71988462843569734</v>
      </c>
      <c r="Q29" s="168">
        <f t="shared" ref="Q29:Q34" si="20">(Q19-B19)/B19</f>
        <v>0.51756023074312862</v>
      </c>
      <c r="R29" s="168">
        <f t="shared" ref="R29:R34" si="21">(R19-B19)/B19</f>
        <v>0.42712928401764505</v>
      </c>
      <c r="S29" s="168">
        <f t="shared" ref="S29:S34" si="22">(S19-B19)/B19</f>
        <v>7.3719036308109942E-2</v>
      </c>
      <c r="T29" s="168">
        <f t="shared" ref="T29:T34" si="23">(T19-B19)/B19</f>
        <v>-0.21937563624024431</v>
      </c>
      <c r="U29" s="168">
        <f t="shared" ref="U29:U34" si="24">(U19-B19)/B19</f>
        <v>-0.54801493043773331</v>
      </c>
      <c r="V29" s="168">
        <f t="shared" ref="V29:V34" si="25">(V19-B19)/B19</f>
        <v>-0.66652527994570754</v>
      </c>
      <c r="W29" s="168">
        <f t="shared" ref="W29:W34" si="26">(W19-B19)/B19</f>
        <v>-0.58856464200882253</v>
      </c>
      <c r="Y29" t="s">
        <v>440</v>
      </c>
      <c r="Z29" s="220">
        <v>-0.28000000000000114</v>
      </c>
    </row>
    <row r="30" spans="1:26" ht="15.75" thickTop="1" x14ac:dyDescent="0.25">
      <c r="A30" s="143" t="s">
        <v>197</v>
      </c>
      <c r="B30" s="147">
        <f t="shared" si="5"/>
        <v>0</v>
      </c>
      <c r="C30" s="147">
        <f t="shared" si="6"/>
        <v>4.8531289910600257E-3</v>
      </c>
      <c r="D30" s="147">
        <f t="shared" si="7"/>
        <v>-1.4814814814814815E-2</v>
      </c>
      <c r="E30" s="147">
        <f t="shared" si="8"/>
        <v>-3.3716475095785438E-2</v>
      </c>
      <c r="F30" s="147">
        <f t="shared" si="9"/>
        <v>-3.7292464878671779E-2</v>
      </c>
      <c r="G30" s="147">
        <f t="shared" si="10"/>
        <v>-0.23090676883780331</v>
      </c>
      <c r="H30" s="147">
        <f t="shared" si="11"/>
        <v>-0.28888888888888886</v>
      </c>
      <c r="I30" s="147">
        <f t="shared" si="12"/>
        <v>-0.30881226053639849</v>
      </c>
      <c r="J30" s="147">
        <f t="shared" si="13"/>
        <v>-0.26998722860791824</v>
      </c>
      <c r="K30" s="147">
        <f t="shared" si="14"/>
        <v>-0.28531289910600255</v>
      </c>
      <c r="L30" s="147">
        <f t="shared" si="15"/>
        <v>-0.30523627075351212</v>
      </c>
      <c r="M30" s="147">
        <f t="shared" si="16"/>
        <v>-0.32081736909323116</v>
      </c>
      <c r="N30" s="147">
        <f t="shared" si="17"/>
        <v>-0.3210727969348659</v>
      </c>
      <c r="O30" s="147">
        <f t="shared" si="18"/>
        <v>-0.30676883780332054</v>
      </c>
      <c r="P30" s="147">
        <f t="shared" si="19"/>
        <v>-0.36091954022988504</v>
      </c>
      <c r="Q30" s="147">
        <f t="shared" si="20"/>
        <v>-0.45593869731800768</v>
      </c>
      <c r="R30" s="147">
        <f t="shared" si="21"/>
        <v>-0.55300127713920821</v>
      </c>
      <c r="S30" s="147">
        <f t="shared" si="22"/>
        <v>-0.60178799489144319</v>
      </c>
      <c r="T30" s="147">
        <f t="shared" si="23"/>
        <v>-0.63678160919540228</v>
      </c>
      <c r="U30" s="147">
        <f t="shared" si="24"/>
        <v>-0.68020434227330784</v>
      </c>
      <c r="V30" s="147">
        <f t="shared" si="25"/>
        <v>-0.69348659003831414</v>
      </c>
      <c r="W30" s="147">
        <f t="shared" si="26"/>
        <v>-0.69706257982120046</v>
      </c>
      <c r="Y30" t="s">
        <v>352</v>
      </c>
      <c r="Z30" s="218">
        <v>0.1899999999999995</v>
      </c>
    </row>
    <row r="31" spans="1:26" x14ac:dyDescent="0.25">
      <c r="A31" s="143" t="s">
        <v>198</v>
      </c>
      <c r="B31" s="147">
        <f t="shared" si="5"/>
        <v>0</v>
      </c>
      <c r="C31" s="147">
        <f t="shared" si="6"/>
        <v>5.301080802882141E-2</v>
      </c>
      <c r="D31" s="147">
        <f t="shared" si="7"/>
        <v>0.10705095213587236</v>
      </c>
      <c r="E31" s="147">
        <f t="shared" si="8"/>
        <v>0.14016126265225595</v>
      </c>
      <c r="F31" s="147">
        <f t="shared" si="9"/>
        <v>0.20689655172413793</v>
      </c>
      <c r="G31" s="147">
        <f t="shared" si="10"/>
        <v>0.23331617773202951</v>
      </c>
      <c r="H31" s="147">
        <f t="shared" si="11"/>
        <v>0.28238119746097101</v>
      </c>
      <c r="I31" s="147">
        <f t="shared" si="12"/>
        <v>0.2895865500085778</v>
      </c>
      <c r="J31" s="147">
        <f t="shared" si="13"/>
        <v>0.23125750557557043</v>
      </c>
      <c r="K31" s="147">
        <f t="shared" si="14"/>
        <v>0.20964144793275005</v>
      </c>
      <c r="L31" s="147">
        <f t="shared" si="15"/>
        <v>0.28975810602161606</v>
      </c>
      <c r="M31" s="147">
        <f t="shared" si="16"/>
        <v>0.30502659118202091</v>
      </c>
      <c r="N31" s="147">
        <f t="shared" si="17"/>
        <v>0.32115285640761709</v>
      </c>
      <c r="O31" s="147">
        <f t="shared" si="18"/>
        <v>0.34053868588094011</v>
      </c>
      <c r="P31" s="147">
        <f t="shared" si="19"/>
        <v>0.37690856064505063</v>
      </c>
      <c r="Q31" s="147">
        <f t="shared" si="20"/>
        <v>0.4340367129867902</v>
      </c>
      <c r="R31" s="147">
        <f t="shared" si="21"/>
        <v>0.53302453250986448</v>
      </c>
      <c r="S31" s="147">
        <f t="shared" si="22"/>
        <v>0.5637330588437125</v>
      </c>
      <c r="T31" s="147">
        <f t="shared" si="23"/>
        <v>0.60936695831188881</v>
      </c>
      <c r="U31" s="147">
        <f t="shared" si="24"/>
        <v>0.45033453422542458</v>
      </c>
      <c r="V31" s="147">
        <f t="shared" si="25"/>
        <v>0.49631154571967745</v>
      </c>
      <c r="W31" s="147">
        <f t="shared" si="26"/>
        <v>0.64728083719334362</v>
      </c>
      <c r="Y31" t="s">
        <v>354</v>
      </c>
      <c r="Z31" s="218">
        <v>3.7100000000000009</v>
      </c>
    </row>
    <row r="32" spans="1:26" x14ac:dyDescent="0.25">
      <c r="A32" s="143" t="s">
        <v>352</v>
      </c>
      <c r="B32" s="147">
        <f t="shared" si="5"/>
        <v>0</v>
      </c>
      <c r="C32" s="147">
        <f t="shared" si="6"/>
        <v>7.9265091863517059E-2</v>
      </c>
      <c r="D32" s="147">
        <f t="shared" si="7"/>
        <v>0.16220472440944883</v>
      </c>
      <c r="E32" s="147">
        <f t="shared" si="8"/>
        <v>0.2136482939632546</v>
      </c>
      <c r="F32" s="147">
        <f t="shared" si="9"/>
        <v>0.27716535433070866</v>
      </c>
      <c r="G32" s="147">
        <f t="shared" si="10"/>
        <v>0.35354330708661419</v>
      </c>
      <c r="H32" s="147">
        <f t="shared" si="11"/>
        <v>0.31837270341207347</v>
      </c>
      <c r="I32" s="147">
        <f t="shared" si="12"/>
        <v>0.30341207349081367</v>
      </c>
      <c r="J32" s="147">
        <f t="shared" si="13"/>
        <v>0.31128608923884515</v>
      </c>
      <c r="K32" s="147">
        <f t="shared" si="14"/>
        <v>0.31994750656167981</v>
      </c>
      <c r="L32" s="147">
        <f t="shared" si="15"/>
        <v>0.44540682414698163</v>
      </c>
      <c r="M32" s="147">
        <f t="shared" si="16"/>
        <v>0.50577427821522314</v>
      </c>
      <c r="N32" s="147">
        <f t="shared" si="17"/>
        <v>0.4548556430446194</v>
      </c>
      <c r="O32" s="147">
        <f t="shared" si="18"/>
        <v>0.40761154855643045</v>
      </c>
      <c r="P32" s="147">
        <f t="shared" si="19"/>
        <v>0.39370078740157483</v>
      </c>
      <c r="Q32" s="147">
        <f t="shared" si="20"/>
        <v>0.4464566929133858</v>
      </c>
      <c r="R32" s="147">
        <f t="shared" si="21"/>
        <v>0.49186351706036746</v>
      </c>
      <c r="S32" s="147">
        <f t="shared" si="22"/>
        <v>0.54278215223097115</v>
      </c>
      <c r="T32" s="147">
        <f t="shared" si="23"/>
        <v>0.5364829396325459</v>
      </c>
      <c r="U32" s="147">
        <f t="shared" si="24"/>
        <v>0.42992125984251967</v>
      </c>
      <c r="V32" s="147">
        <f t="shared" si="25"/>
        <v>0.48897637795275589</v>
      </c>
      <c r="W32" s="147">
        <f t="shared" si="26"/>
        <v>0.70892388451443566</v>
      </c>
      <c r="Y32" t="s">
        <v>198</v>
      </c>
      <c r="Z32" s="218">
        <v>5.3299999999999983</v>
      </c>
    </row>
    <row r="33" spans="1:26" x14ac:dyDescent="0.25">
      <c r="A33" s="179" t="s">
        <v>353</v>
      </c>
      <c r="B33" s="147">
        <f t="shared" si="5"/>
        <v>0</v>
      </c>
      <c r="C33" s="147">
        <f t="shared" si="6"/>
        <v>9.3875973272958199E-3</v>
      </c>
      <c r="D33" s="147">
        <f t="shared" si="7"/>
        <v>1.6952896349881275E-2</v>
      </c>
      <c r="E33" s="147">
        <f t="shared" si="8"/>
        <v>2.2732711174922229E-2</v>
      </c>
      <c r="F33" s="147">
        <f t="shared" si="9"/>
        <v>3.0205974929593021E-2</v>
      </c>
      <c r="G33" s="147">
        <f t="shared" si="10"/>
        <v>-2.7923500285309332E-2</v>
      </c>
      <c r="H33" s="147">
        <f t="shared" si="11"/>
        <v>-2.8236420196219192E-2</v>
      </c>
      <c r="I33" s="147">
        <f t="shared" si="12"/>
        <v>-3.7992158595173672E-2</v>
      </c>
      <c r="J33" s="147">
        <f t="shared" si="13"/>
        <v>-9.6195262024407757E-2</v>
      </c>
      <c r="K33" s="147">
        <f t="shared" si="14"/>
        <v>-6.8639902810757075E-2</v>
      </c>
      <c r="L33" s="147">
        <f t="shared" si="15"/>
        <v>3.6998177701695291E-3</v>
      </c>
      <c r="M33" s="147">
        <f t="shared" si="16"/>
        <v>8.9053325234229763E-2</v>
      </c>
      <c r="N33" s="147">
        <f t="shared" si="17"/>
        <v>0.12861008338395272</v>
      </c>
      <c r="O33" s="147">
        <f t="shared" si="18"/>
        <v>0.16435658144200857</v>
      </c>
      <c r="P33" s="147">
        <f t="shared" si="19"/>
        <v>0.20590130137868831</v>
      </c>
      <c r="Q33" s="147">
        <f t="shared" si="20"/>
        <v>0.23152391996613103</v>
      </c>
      <c r="R33" s="147">
        <f t="shared" si="21"/>
        <v>0.18661070922377454</v>
      </c>
      <c r="S33" s="147">
        <f t="shared" si="22"/>
        <v>9.163031273584038E-2</v>
      </c>
      <c r="T33" s="147">
        <f t="shared" si="23"/>
        <v>-2.6377307784342961E-2</v>
      </c>
      <c r="U33" s="147">
        <f t="shared" si="24"/>
        <v>-0.17192188046459403</v>
      </c>
      <c r="V33" s="147">
        <f t="shared" si="25"/>
        <v>-0.18718132788484548</v>
      </c>
      <c r="W33" s="147">
        <f t="shared" si="26"/>
        <v>-0.18745743368858947</v>
      </c>
      <c r="Y33" t="s">
        <v>353</v>
      </c>
      <c r="Z33" s="218">
        <v>5.6700000000000017</v>
      </c>
    </row>
    <row r="34" spans="1:26" x14ac:dyDescent="0.25">
      <c r="A34" s="143" t="s">
        <v>354</v>
      </c>
      <c r="B34" s="147">
        <f t="shared" si="5"/>
        <v>0</v>
      </c>
      <c r="C34" s="147">
        <f t="shared" si="6"/>
        <v>-7.3564030131826738E-3</v>
      </c>
      <c r="D34" s="147">
        <f t="shared" si="7"/>
        <v>-2.5453154425612054E-3</v>
      </c>
      <c r="E34" s="147">
        <f t="shared" si="8"/>
        <v>4.4138418079096045E-4</v>
      </c>
      <c r="F34" s="147">
        <f t="shared" si="9"/>
        <v>8.2244585687382306E-3</v>
      </c>
      <c r="G34" s="147">
        <f t="shared" si="10"/>
        <v>1.9818149717514125E-2</v>
      </c>
      <c r="H34" s="147">
        <f t="shared" si="11"/>
        <v>1.1917372881355932E-2</v>
      </c>
      <c r="I34" s="147">
        <f t="shared" si="12"/>
        <v>7.8125E-3</v>
      </c>
      <c r="J34" s="147">
        <f t="shared" si="13"/>
        <v>-2.8822387005649718E-2</v>
      </c>
      <c r="K34" s="147">
        <f t="shared" si="14"/>
        <v>3.0705626177024482E-2</v>
      </c>
      <c r="L34" s="147">
        <f t="shared" si="15"/>
        <v>9.038076741996233E-2</v>
      </c>
      <c r="M34" s="147">
        <f t="shared" si="16"/>
        <v>0.13566678436911489</v>
      </c>
      <c r="N34" s="147">
        <f t="shared" si="17"/>
        <v>0.16765242467043315</v>
      </c>
      <c r="O34" s="147">
        <f t="shared" si="18"/>
        <v>0.21430673258003766</v>
      </c>
      <c r="P34" s="147">
        <f t="shared" si="19"/>
        <v>0.24483580508474576</v>
      </c>
      <c r="Q34" s="147">
        <f t="shared" si="20"/>
        <v>0.2893567561205273</v>
      </c>
      <c r="R34" s="147">
        <f t="shared" si="21"/>
        <v>0.30114171374764598</v>
      </c>
      <c r="S34" s="147">
        <f t="shared" si="22"/>
        <v>0.32838983050847459</v>
      </c>
      <c r="T34" s="147">
        <f t="shared" si="23"/>
        <v>0.32238700564971751</v>
      </c>
      <c r="U34" s="147">
        <f t="shared" si="24"/>
        <v>0.22289901129943504</v>
      </c>
      <c r="V34" s="147">
        <f t="shared" si="25"/>
        <v>0.21473340395480225</v>
      </c>
      <c r="W34" s="147">
        <f t="shared" si="26"/>
        <v>0.2428642890772128</v>
      </c>
      <c r="Y34" t="s">
        <v>197</v>
      </c>
      <c r="Z34" s="218">
        <v>6.3299999999999983</v>
      </c>
    </row>
    <row r="35" spans="1:26" x14ac:dyDescent="0.25">
      <c r="A35" s="1"/>
      <c r="B35" s="1"/>
      <c r="C35" s="1"/>
      <c r="D35" s="39"/>
      <c r="E35" s="1"/>
      <c r="F35" s="1"/>
      <c r="G35" s="1"/>
      <c r="H35" s="1"/>
      <c r="I35" s="1"/>
      <c r="J35" s="1"/>
      <c r="K35" s="1"/>
      <c r="L35" s="1"/>
      <c r="M35" s="1"/>
      <c r="N35" s="1"/>
      <c r="O35" s="40"/>
      <c r="P35" s="1"/>
      <c r="Q35" s="1"/>
      <c r="R35" s="1"/>
      <c r="S35" s="1"/>
      <c r="T35" s="1"/>
      <c r="U35" s="1"/>
      <c r="V35" s="1"/>
      <c r="W35" s="1"/>
    </row>
    <row r="36" spans="1:26" ht="15.75" x14ac:dyDescent="0.25">
      <c r="A36" s="315" t="s">
        <v>443</v>
      </c>
      <c r="B36" s="315"/>
      <c r="C36" s="315"/>
      <c r="D36" s="315"/>
      <c r="E36" s="315"/>
      <c r="F36" s="315"/>
      <c r="G36" s="315"/>
      <c r="H36" s="315"/>
      <c r="I36" s="315"/>
      <c r="J36" s="315"/>
      <c r="K36" s="315"/>
      <c r="L36" s="315"/>
      <c r="M36" s="315"/>
      <c r="N36" s="315"/>
      <c r="O36" s="315"/>
      <c r="P36" s="315"/>
      <c r="Q36" s="315"/>
      <c r="R36" s="315"/>
      <c r="S36" s="315"/>
    </row>
    <row r="37" spans="1:26" x14ac:dyDescent="0.25">
      <c r="A37" s="190" t="s">
        <v>188</v>
      </c>
      <c r="B37" s="191">
        <v>2005</v>
      </c>
      <c r="C37" s="191">
        <v>2006</v>
      </c>
      <c r="D37" s="191">
        <v>2007</v>
      </c>
      <c r="E37" s="191">
        <v>2008</v>
      </c>
      <c r="F37" s="191">
        <v>2009</v>
      </c>
      <c r="G37" s="191">
        <v>2010</v>
      </c>
      <c r="H37" s="191">
        <v>2011</v>
      </c>
      <c r="I37" s="191">
        <v>2012</v>
      </c>
      <c r="J37" s="191">
        <v>2013</v>
      </c>
      <c r="K37" s="191">
        <v>2014</v>
      </c>
      <c r="L37" s="191">
        <v>2015</v>
      </c>
      <c r="M37" s="191">
        <v>2016</v>
      </c>
      <c r="N37" s="191">
        <v>2017</v>
      </c>
      <c r="O37" s="191">
        <v>2018</v>
      </c>
      <c r="P37" s="191">
        <v>2019</v>
      </c>
      <c r="Q37" s="191">
        <v>2020</v>
      </c>
      <c r="R37" s="191">
        <v>2021</v>
      </c>
      <c r="S37" s="191">
        <v>2022</v>
      </c>
    </row>
    <row r="38" spans="1:26" ht="15.75" thickBot="1" x14ac:dyDescent="0.3">
      <c r="A38" s="166" t="s">
        <v>440</v>
      </c>
      <c r="B38" s="169">
        <v>15.32</v>
      </c>
      <c r="C38" s="169">
        <v>21.01</v>
      </c>
      <c r="D38" s="169">
        <v>22.48</v>
      </c>
      <c r="E38" s="169">
        <v>23.22</v>
      </c>
      <c r="F38" s="169">
        <v>17.72</v>
      </c>
      <c r="G38" s="169">
        <v>17.16</v>
      </c>
      <c r="H38" s="169">
        <v>15.75</v>
      </c>
      <c r="I38" s="169">
        <v>11.16</v>
      </c>
      <c r="J38" s="169">
        <v>11.12</v>
      </c>
      <c r="K38" s="169">
        <v>11.2</v>
      </c>
      <c r="L38" s="169">
        <v>11.27</v>
      </c>
      <c r="M38" s="169">
        <v>12.13</v>
      </c>
      <c r="N38" s="169">
        <v>12.15</v>
      </c>
      <c r="O38" s="169">
        <v>13.42</v>
      </c>
      <c r="P38" s="169">
        <v>12.81</v>
      </c>
      <c r="Q38" s="169">
        <v>12.32</v>
      </c>
      <c r="R38" s="169">
        <v>14.44</v>
      </c>
      <c r="S38" s="170">
        <v>15.04</v>
      </c>
      <c r="T38">
        <f>S38-(B38*1.4985)</f>
        <v>-7.9170200000000008</v>
      </c>
      <c r="U38">
        <f>T38/B38</f>
        <v>-0.51677676240208881</v>
      </c>
    </row>
    <row r="39" spans="1:26" ht="15.75" thickTop="1" x14ac:dyDescent="0.25">
      <c r="A39" s="143" t="s">
        <v>197</v>
      </c>
      <c r="B39" s="150">
        <v>23.53</v>
      </c>
      <c r="C39" s="150">
        <v>23.62</v>
      </c>
      <c r="D39" s="150">
        <v>25.59</v>
      </c>
      <c r="E39" s="150">
        <v>24.46</v>
      </c>
      <c r="F39" s="150">
        <v>23.6</v>
      </c>
      <c r="G39" s="150">
        <v>25.77</v>
      </c>
      <c r="H39" s="150">
        <v>25.27</v>
      </c>
      <c r="I39" s="150">
        <v>26.59</v>
      </c>
      <c r="J39" s="150">
        <v>25.69</v>
      </c>
      <c r="K39" s="150">
        <v>25.96</v>
      </c>
      <c r="L39" s="150">
        <v>25.17</v>
      </c>
      <c r="M39" s="150">
        <v>25.29</v>
      </c>
      <c r="N39" s="150">
        <v>26.65</v>
      </c>
      <c r="O39" s="150">
        <v>28.3</v>
      </c>
      <c r="P39" s="150">
        <v>28.35</v>
      </c>
      <c r="Q39" s="150">
        <v>28.2</v>
      </c>
      <c r="R39" s="150">
        <v>29.13</v>
      </c>
      <c r="S39" s="151">
        <v>29.86</v>
      </c>
      <c r="T39">
        <f t="shared" ref="T39:T43" si="27">S39-(B39*1.4985)</f>
        <v>-5.3997050000000044</v>
      </c>
      <c r="U39">
        <f>T39/B39</f>
        <v>-0.22948172545686377</v>
      </c>
    </row>
    <row r="40" spans="1:26" x14ac:dyDescent="0.25">
      <c r="A40" s="143" t="s">
        <v>198</v>
      </c>
      <c r="B40" s="150">
        <v>15.64</v>
      </c>
      <c r="C40" s="150">
        <v>16.63</v>
      </c>
      <c r="D40" s="150">
        <v>17.27</v>
      </c>
      <c r="E40" s="150">
        <v>17.170000000000002</v>
      </c>
      <c r="F40" s="150">
        <v>16.420000000000002</v>
      </c>
      <c r="G40" s="150">
        <v>16.28</v>
      </c>
      <c r="H40" s="150">
        <v>14.64</v>
      </c>
      <c r="I40" s="150">
        <v>14.66</v>
      </c>
      <c r="J40" s="150">
        <v>15.79</v>
      </c>
      <c r="K40" s="150">
        <v>16.89</v>
      </c>
      <c r="L40" s="150">
        <v>16.52</v>
      </c>
      <c r="M40" s="150">
        <v>15.41</v>
      </c>
      <c r="N40" s="150">
        <v>16.72</v>
      </c>
      <c r="O40" s="150">
        <v>16.850000000000001</v>
      </c>
      <c r="P40" s="150">
        <v>18.21</v>
      </c>
      <c r="Q40" s="150">
        <v>18.350000000000001</v>
      </c>
      <c r="R40" s="150">
        <v>18.309999999999999</v>
      </c>
      <c r="S40" s="151">
        <v>20.97</v>
      </c>
      <c r="T40">
        <f t="shared" si="27"/>
        <v>-2.466540000000002</v>
      </c>
      <c r="U40">
        <f t="shared" ref="U40:U43" si="28">T40/B40</f>
        <v>-0.15770716112531982</v>
      </c>
    </row>
    <row r="41" spans="1:26" x14ac:dyDescent="0.25">
      <c r="A41" s="143" t="s">
        <v>352</v>
      </c>
      <c r="B41" s="150">
        <v>14.9</v>
      </c>
      <c r="C41" s="150">
        <v>19.420000000000002</v>
      </c>
      <c r="D41" s="150">
        <v>20.3</v>
      </c>
      <c r="E41" s="150">
        <v>22.15</v>
      </c>
      <c r="F41" s="150">
        <v>17.21</v>
      </c>
      <c r="G41" s="150">
        <v>16.95</v>
      </c>
      <c r="H41" s="150">
        <v>15.99</v>
      </c>
      <c r="I41" s="150">
        <v>23.73</v>
      </c>
      <c r="J41" s="150">
        <v>26.1</v>
      </c>
      <c r="K41" s="150">
        <v>17.649999999999999</v>
      </c>
      <c r="L41" s="150">
        <v>18.52</v>
      </c>
      <c r="M41" s="150">
        <v>16.399999999999999</v>
      </c>
      <c r="N41" s="150">
        <v>18.46</v>
      </c>
      <c r="O41" s="150">
        <v>17.649999999999999</v>
      </c>
      <c r="P41" s="150">
        <v>18.05</v>
      </c>
      <c r="Q41" s="150">
        <v>17.04</v>
      </c>
      <c r="R41" s="150">
        <v>14.82</v>
      </c>
      <c r="S41" s="151">
        <v>15.09</v>
      </c>
      <c r="T41">
        <f t="shared" si="27"/>
        <v>-7.2376499999999986</v>
      </c>
      <c r="U41">
        <f t="shared" si="28"/>
        <v>-0.4857483221476509</v>
      </c>
    </row>
    <row r="42" spans="1:26" x14ac:dyDescent="0.25">
      <c r="A42" s="179" t="s">
        <v>353</v>
      </c>
      <c r="B42" s="152">
        <v>13.61</v>
      </c>
      <c r="C42" s="152">
        <v>14.52</v>
      </c>
      <c r="D42" s="152">
        <v>14.77</v>
      </c>
      <c r="E42" s="152">
        <v>14.79</v>
      </c>
      <c r="F42" s="152">
        <v>15.09</v>
      </c>
      <c r="G42" s="152">
        <v>15.26</v>
      </c>
      <c r="H42" s="152">
        <v>15.72</v>
      </c>
      <c r="I42" s="152">
        <v>15.85</v>
      </c>
      <c r="J42" s="152">
        <v>16</v>
      </c>
      <c r="K42" s="152">
        <v>15.82</v>
      </c>
      <c r="L42" s="152">
        <v>15.89</v>
      </c>
      <c r="M42" s="152">
        <v>16.079999999999998</v>
      </c>
      <c r="N42" s="152">
        <v>16.670000000000002</v>
      </c>
      <c r="O42" s="152">
        <v>17.23</v>
      </c>
      <c r="P42" s="152">
        <v>18.02</v>
      </c>
      <c r="Q42" s="152">
        <v>18.559999999999999</v>
      </c>
      <c r="R42" s="152">
        <v>18.100000000000001</v>
      </c>
      <c r="S42" s="153">
        <v>19.28</v>
      </c>
      <c r="T42">
        <f t="shared" si="27"/>
        <v>-1.1145849999999982</v>
      </c>
      <c r="U42">
        <f t="shared" si="28"/>
        <v>-8.1894562821454686E-2</v>
      </c>
    </row>
    <row r="43" spans="1:26" x14ac:dyDescent="0.25">
      <c r="A43" s="143" t="s">
        <v>354</v>
      </c>
      <c r="B43" s="152">
        <v>14.27</v>
      </c>
      <c r="C43" s="152">
        <v>14.36</v>
      </c>
      <c r="D43" s="152">
        <v>14.9</v>
      </c>
      <c r="E43" s="152">
        <v>15.13</v>
      </c>
      <c r="F43" s="152">
        <v>15.35</v>
      </c>
      <c r="G43" s="152">
        <v>14.93</v>
      </c>
      <c r="H43" s="152">
        <v>14.84</v>
      </c>
      <c r="I43" s="152">
        <v>14.6</v>
      </c>
      <c r="J43" s="152">
        <v>14.58</v>
      </c>
      <c r="K43" s="152">
        <v>14.44</v>
      </c>
      <c r="L43" s="152">
        <v>14.93</v>
      </c>
      <c r="M43" s="152">
        <v>15.31</v>
      </c>
      <c r="N43" s="152">
        <v>15.54</v>
      </c>
      <c r="O43" s="152">
        <v>15.94</v>
      </c>
      <c r="P43" s="152">
        <v>16.329999999999998</v>
      </c>
      <c r="Q43" s="152">
        <v>17.07</v>
      </c>
      <c r="R43" s="152">
        <v>17.57</v>
      </c>
      <c r="S43" s="153">
        <v>17.98</v>
      </c>
      <c r="T43">
        <f t="shared" si="27"/>
        <v>-3.4035949999999993</v>
      </c>
      <c r="U43">
        <f t="shared" si="28"/>
        <v>-0.2385140154169586</v>
      </c>
    </row>
    <row r="44" spans="1:26" x14ac:dyDescent="0.25">
      <c r="A44" s="1"/>
      <c r="B44" s="1"/>
      <c r="C44" s="1"/>
      <c r="D44" s="1"/>
      <c r="E44" s="1"/>
      <c r="F44" s="1"/>
      <c r="G44" s="1"/>
      <c r="H44" s="1"/>
      <c r="I44" s="1"/>
      <c r="J44" s="1"/>
      <c r="K44" s="40"/>
      <c r="L44" s="1"/>
      <c r="M44" s="1"/>
      <c r="N44" s="1"/>
      <c r="O44" s="1"/>
      <c r="P44" s="1"/>
      <c r="Q44" s="1"/>
      <c r="R44" s="1"/>
      <c r="S44" s="1"/>
    </row>
    <row r="45" spans="1:26" x14ac:dyDescent="0.25">
      <c r="A45" s="1"/>
      <c r="B45" s="1"/>
      <c r="C45" s="1"/>
      <c r="D45" s="1"/>
      <c r="E45" s="1"/>
      <c r="F45" s="1"/>
      <c r="G45" s="1"/>
      <c r="H45" s="1"/>
      <c r="I45" s="1"/>
      <c r="J45" s="1"/>
      <c r="K45" s="40"/>
      <c r="L45" s="1"/>
      <c r="M45" s="1"/>
      <c r="N45" s="1"/>
      <c r="O45" s="1"/>
      <c r="P45" s="1"/>
      <c r="Q45" s="1"/>
      <c r="R45" s="1"/>
      <c r="S45" s="1"/>
    </row>
    <row r="46" spans="1:26" ht="15.75" x14ac:dyDescent="0.25">
      <c r="A46" s="315" t="s">
        <v>444</v>
      </c>
      <c r="B46" s="315"/>
      <c r="C46" s="315"/>
      <c r="D46" s="315"/>
      <c r="E46" s="315"/>
      <c r="F46" s="315"/>
      <c r="G46" s="315"/>
      <c r="H46" s="315"/>
      <c r="I46" s="315"/>
      <c r="J46" s="315"/>
      <c r="K46" s="315"/>
      <c r="L46" s="315"/>
      <c r="M46" s="315"/>
      <c r="N46" s="315"/>
      <c r="O46" s="315"/>
      <c r="P46" s="315"/>
      <c r="Q46" s="315"/>
      <c r="R46" s="315"/>
      <c r="S46" s="315"/>
    </row>
    <row r="47" spans="1:26" x14ac:dyDescent="0.25">
      <c r="A47" s="190" t="s">
        <v>188</v>
      </c>
      <c r="B47" s="191">
        <v>2005</v>
      </c>
      <c r="C47" s="191">
        <v>2006</v>
      </c>
      <c r="D47" s="191">
        <v>2007</v>
      </c>
      <c r="E47" s="191">
        <v>2008</v>
      </c>
      <c r="F47" s="191">
        <v>2009</v>
      </c>
      <c r="G47" s="191">
        <v>2010</v>
      </c>
      <c r="H47" s="191">
        <v>2011</v>
      </c>
      <c r="I47" s="191">
        <v>2012</v>
      </c>
      <c r="J47" s="191">
        <v>2013</v>
      </c>
      <c r="K47" s="191">
        <v>2014</v>
      </c>
      <c r="L47" s="191">
        <v>2015</v>
      </c>
      <c r="M47" s="191">
        <v>2016</v>
      </c>
      <c r="N47" s="191">
        <v>2017</v>
      </c>
      <c r="O47" s="191">
        <v>2018</v>
      </c>
      <c r="P47" s="191">
        <v>2019</v>
      </c>
      <c r="Q47" s="191">
        <v>2020</v>
      </c>
      <c r="R47" s="191">
        <v>2021</v>
      </c>
      <c r="S47" s="191">
        <v>2022</v>
      </c>
    </row>
    <row r="48" spans="1:26" ht="15.75" thickBot="1" x14ac:dyDescent="0.3">
      <c r="A48" s="166" t="s">
        <v>440</v>
      </c>
      <c r="B48" s="168">
        <f>(B38-B38)/B38</f>
        <v>0</v>
      </c>
      <c r="C48" s="168">
        <f>(C38-B38)/B38</f>
        <v>0.37140992167101833</v>
      </c>
      <c r="D48" s="168">
        <f>(D38-B38)/B38</f>
        <v>0.46736292428198434</v>
      </c>
      <c r="E48" s="168">
        <f>(E38-B38)/B38</f>
        <v>0.51566579634464738</v>
      </c>
      <c r="F48" s="168">
        <f>(F38-B38)/B38</f>
        <v>0.15665796344647509</v>
      </c>
      <c r="G48" s="168">
        <f>(G38-B38)/B38</f>
        <v>0.12010443864229764</v>
      </c>
      <c r="H48" s="168">
        <f>(H38-B38)/B38</f>
        <v>2.8067885117493453E-2</v>
      </c>
      <c r="I48" s="168">
        <f t="shared" ref="I48:I53" si="29">(I38-B38)/B38</f>
        <v>-0.27154046997389036</v>
      </c>
      <c r="J48" s="168">
        <f t="shared" ref="J48:J53" si="30">(J38-B38)/B38</f>
        <v>-0.27415143603133163</v>
      </c>
      <c r="K48" s="168">
        <f t="shared" ref="K48:K53" si="31">(K38-B38)/B38</f>
        <v>-0.26892950391644915</v>
      </c>
      <c r="L48" s="168">
        <f t="shared" ref="L48:L53" si="32">(L38-B38)/B38</f>
        <v>-0.26436031331592691</v>
      </c>
      <c r="M48" s="168">
        <f t="shared" ref="M48:M53" si="33">(M38-B38)/B38</f>
        <v>-0.20822454308093991</v>
      </c>
      <c r="N48" s="168">
        <f t="shared" ref="N48:N53" si="34">(N38-B38)/B38</f>
        <v>-0.2069190600522193</v>
      </c>
      <c r="O48" s="168">
        <f t="shared" ref="O48:O53" si="35">(O38-B38)/B38</f>
        <v>-0.12402088772845955</v>
      </c>
      <c r="P48" s="168">
        <f t="shared" ref="P48:P53" si="36">(P38-B38)/B38</f>
        <v>-0.16383812010443863</v>
      </c>
      <c r="Q48" s="168">
        <f t="shared" ref="Q48:Q53" si="37">(Q38-B38)/B38</f>
        <v>-0.195822454308094</v>
      </c>
      <c r="R48" s="168">
        <f t="shared" ref="R48:R53" si="38">(R38-B38)/B38</f>
        <v>-5.7441253263707623E-2</v>
      </c>
      <c r="S48" s="168">
        <f t="shared" ref="S48:S53" si="39">(S38-B38)/B38</f>
        <v>-1.8276762402088847E-2</v>
      </c>
    </row>
    <row r="49" spans="1:19" ht="15.75" thickTop="1" x14ac:dyDescent="0.25">
      <c r="A49" s="143" t="s">
        <v>197</v>
      </c>
      <c r="B49" s="147">
        <f>(B39-B39)/B39</f>
        <v>0</v>
      </c>
      <c r="C49" s="147">
        <f>(C39-B39)/B39</f>
        <v>3.824904377390559E-3</v>
      </c>
      <c r="D49" s="147">
        <f>(D39-B39)/B39</f>
        <v>8.7547811304717324E-2</v>
      </c>
      <c r="E49" s="147">
        <f>(E39-B39)/B39</f>
        <v>3.9524011899702491E-2</v>
      </c>
      <c r="F49" s="147">
        <f>(F39-B39)/B39</f>
        <v>2.9749256268593403E-3</v>
      </c>
      <c r="G49" s="147">
        <f>(G39-B39)/B39</f>
        <v>9.5197620059498445E-2</v>
      </c>
      <c r="H49" s="147">
        <f>(H39-B39)/B39</f>
        <v>7.3948151296217526E-2</v>
      </c>
      <c r="I49" s="147">
        <f t="shared" si="29"/>
        <v>0.13004674883127915</v>
      </c>
      <c r="J49" s="147">
        <f t="shared" si="30"/>
        <v>9.1797705057373571E-2</v>
      </c>
      <c r="K49" s="147">
        <f t="shared" si="31"/>
        <v>0.10327241818954525</v>
      </c>
      <c r="L49" s="147">
        <f t="shared" si="32"/>
        <v>6.9698257543561432E-2</v>
      </c>
      <c r="M49" s="147">
        <f t="shared" si="33"/>
        <v>7.4798130046748748E-2</v>
      </c>
      <c r="N49" s="147">
        <f t="shared" si="34"/>
        <v>0.13259668508287281</v>
      </c>
      <c r="O49" s="147">
        <f t="shared" si="35"/>
        <v>0.20271993200169994</v>
      </c>
      <c r="P49" s="147">
        <f t="shared" si="36"/>
        <v>0.20484487887802805</v>
      </c>
      <c r="Q49" s="147">
        <f t="shared" si="37"/>
        <v>0.19847003824904369</v>
      </c>
      <c r="R49" s="147">
        <f t="shared" si="38"/>
        <v>0.23799405014874617</v>
      </c>
      <c r="S49" s="147">
        <f t="shared" si="39"/>
        <v>0.26901827454313632</v>
      </c>
    </row>
    <row r="50" spans="1:19" x14ac:dyDescent="0.25">
      <c r="A50" s="143" t="s">
        <v>198</v>
      </c>
      <c r="B50" s="147">
        <f>(B40-B40)/B40</f>
        <v>0</v>
      </c>
      <c r="C50" s="147">
        <f>(C40-B40)/B40</f>
        <v>6.3299232736572786E-2</v>
      </c>
      <c r="D50" s="147">
        <f>(D40-B40)/B40</f>
        <v>0.10421994884910479</v>
      </c>
      <c r="E50" s="147">
        <f>(E40-B40)/B40</f>
        <v>9.7826086956521813E-2</v>
      </c>
      <c r="F50" s="147">
        <f>(F40-B40)/B40</f>
        <v>4.9872122762148412E-2</v>
      </c>
      <c r="G50" s="147">
        <f>(G40-B40)/B40</f>
        <v>4.0920716112532007E-2</v>
      </c>
      <c r="H50" s="147">
        <f>(H40-B40)/B40</f>
        <v>-6.3938618925831206E-2</v>
      </c>
      <c r="I50" s="147">
        <f t="shared" si="29"/>
        <v>-6.2659846547314602E-2</v>
      </c>
      <c r="J50" s="147">
        <f t="shared" si="30"/>
        <v>9.5907928388745886E-3</v>
      </c>
      <c r="K50" s="147">
        <f t="shared" si="31"/>
        <v>7.9923273657289004E-2</v>
      </c>
      <c r="L50" s="147">
        <f t="shared" si="32"/>
        <v>5.6265984654731392E-2</v>
      </c>
      <c r="M50" s="147">
        <f t="shared" si="33"/>
        <v>-1.4705882352941204E-2</v>
      </c>
      <c r="N50" s="147">
        <f t="shared" si="34"/>
        <v>6.9053708439897582E-2</v>
      </c>
      <c r="O50" s="147">
        <f t="shared" si="35"/>
        <v>7.7365728900255809E-2</v>
      </c>
      <c r="P50" s="147">
        <f t="shared" si="36"/>
        <v>0.16432225063938621</v>
      </c>
      <c r="Q50" s="147">
        <f t="shared" si="37"/>
        <v>0.1732736572890026</v>
      </c>
      <c r="R50" s="147">
        <f t="shared" si="38"/>
        <v>0.17071611253196919</v>
      </c>
      <c r="S50" s="147">
        <f t="shared" si="39"/>
        <v>0.3407928388746802</v>
      </c>
    </row>
    <row r="51" spans="1:19" x14ac:dyDescent="0.25">
      <c r="A51" s="143" t="s">
        <v>352</v>
      </c>
      <c r="B51" s="147">
        <f>(B41-B41)/B41</f>
        <v>0</v>
      </c>
      <c r="C51" s="147">
        <f>(C41-B41)/B41</f>
        <v>0.30335570469798667</v>
      </c>
      <c r="D51" s="147">
        <f>(D41-B41)/B41</f>
        <v>0.36241610738255037</v>
      </c>
      <c r="E51" s="147">
        <f>(E41-B41)/B41</f>
        <v>0.48657718120805354</v>
      </c>
      <c r="F51" s="147">
        <f>(F41-B41)/B41</f>
        <v>0.15503355704697991</v>
      </c>
      <c r="G51" s="147">
        <f>(G41-B41)/B41</f>
        <v>0.13758389261744958</v>
      </c>
      <c r="H51" s="147">
        <f>(H41-B41)/B41</f>
        <v>7.3154362416107371E-2</v>
      </c>
      <c r="I51" s="147">
        <f t="shared" si="29"/>
        <v>0.59261744966442953</v>
      </c>
      <c r="J51" s="147">
        <f t="shared" si="30"/>
        <v>0.75167785234899331</v>
      </c>
      <c r="K51" s="147">
        <f t="shared" si="31"/>
        <v>0.18456375838926162</v>
      </c>
      <c r="L51" s="147">
        <f t="shared" si="32"/>
        <v>0.24295302013422812</v>
      </c>
      <c r="M51" s="147">
        <f t="shared" si="33"/>
        <v>0.1006711409395972</v>
      </c>
      <c r="N51" s="147">
        <f t="shared" si="34"/>
        <v>0.23892617449664433</v>
      </c>
      <c r="O51" s="147">
        <f t="shared" si="35"/>
        <v>0.18456375838926162</v>
      </c>
      <c r="P51" s="147">
        <f t="shared" si="36"/>
        <v>0.21140939597315439</v>
      </c>
      <c r="Q51" s="147">
        <f t="shared" si="37"/>
        <v>0.14362416107382542</v>
      </c>
      <c r="R51" s="147">
        <f t="shared" si="38"/>
        <v>-5.3691275167785284E-3</v>
      </c>
      <c r="S51" s="147">
        <f t="shared" si="39"/>
        <v>1.275167785234896E-2</v>
      </c>
    </row>
    <row r="52" spans="1:19" x14ac:dyDescent="0.25">
      <c r="A52" s="179" t="s">
        <v>353</v>
      </c>
      <c r="B52" s="147">
        <f t="shared" ref="B52:B53" si="40">(B42-B42)/B42</f>
        <v>0</v>
      </c>
      <c r="C52" s="147">
        <f t="shared" ref="C52:C53" si="41">(C42-B42)/B42</f>
        <v>6.6862601028655419E-2</v>
      </c>
      <c r="D52" s="147">
        <f t="shared" ref="D52:D53" si="42">(D42-B42)/B42</f>
        <v>8.5231447465099211E-2</v>
      </c>
      <c r="E52" s="147">
        <f t="shared" ref="E52:E53" si="43">(E42-B42)/B42</f>
        <v>8.670095518001468E-2</v>
      </c>
      <c r="F52" s="147">
        <f t="shared" ref="F52:F53" si="44">(F42-B42)/B42</f>
        <v>0.10874357090374728</v>
      </c>
      <c r="G52" s="147">
        <f t="shared" ref="G52:G53" si="45">(G42-B42)/B42</f>
        <v>0.12123438648052906</v>
      </c>
      <c r="H52" s="147">
        <f t="shared" ref="H52:H53" si="46">(H42-B42)/B42</f>
        <v>0.15503306392358571</v>
      </c>
      <c r="I52" s="147">
        <f t="shared" si="29"/>
        <v>0.16458486407053638</v>
      </c>
      <c r="J52" s="147">
        <f t="shared" si="30"/>
        <v>0.17560617193240269</v>
      </c>
      <c r="K52" s="147">
        <f t="shared" si="31"/>
        <v>0.16238060249816319</v>
      </c>
      <c r="L52" s="147">
        <f t="shared" si="32"/>
        <v>0.16752387950036746</v>
      </c>
      <c r="M52" s="147">
        <f t="shared" si="33"/>
        <v>0.18148420279206459</v>
      </c>
      <c r="N52" s="147">
        <f t="shared" si="34"/>
        <v>0.22483468038207219</v>
      </c>
      <c r="O52" s="147">
        <f t="shared" si="35"/>
        <v>0.26598089639970618</v>
      </c>
      <c r="P52" s="147">
        <f t="shared" si="36"/>
        <v>0.32402645113886852</v>
      </c>
      <c r="Q52" s="147">
        <f t="shared" si="37"/>
        <v>0.36370315944158704</v>
      </c>
      <c r="R52" s="147">
        <f t="shared" si="38"/>
        <v>0.32990448199853067</v>
      </c>
      <c r="S52" s="147">
        <f t="shared" si="39"/>
        <v>0.41660543717854531</v>
      </c>
    </row>
    <row r="53" spans="1:19" x14ac:dyDescent="0.25">
      <c r="A53" s="143" t="s">
        <v>354</v>
      </c>
      <c r="B53" s="147">
        <f t="shared" si="40"/>
        <v>0</v>
      </c>
      <c r="C53" s="147">
        <f t="shared" si="41"/>
        <v>6.3069376313945246E-3</v>
      </c>
      <c r="D53" s="147">
        <f t="shared" si="42"/>
        <v>4.4148563419761797E-2</v>
      </c>
      <c r="E53" s="147">
        <f t="shared" si="43"/>
        <v>6.0266292922214519E-2</v>
      </c>
      <c r="F53" s="147">
        <f t="shared" si="44"/>
        <v>7.5683251576734417E-2</v>
      </c>
      <c r="G53" s="147">
        <f t="shared" si="45"/>
        <v>4.625087596355993E-2</v>
      </c>
      <c r="H53" s="147">
        <f t="shared" si="46"/>
        <v>3.9943938332165405E-2</v>
      </c>
      <c r="I53" s="147">
        <f t="shared" si="29"/>
        <v>2.3125437981779965E-2</v>
      </c>
      <c r="J53" s="147">
        <f t="shared" si="30"/>
        <v>2.1723896285914542E-2</v>
      </c>
      <c r="K53" s="147">
        <f t="shared" si="31"/>
        <v>1.1913104414856338E-2</v>
      </c>
      <c r="L53" s="147">
        <f t="shared" si="32"/>
        <v>4.625087596355993E-2</v>
      </c>
      <c r="M53" s="147">
        <f t="shared" si="33"/>
        <v>7.2880168185003577E-2</v>
      </c>
      <c r="N53" s="147">
        <f t="shared" si="34"/>
        <v>8.8997897687456168E-2</v>
      </c>
      <c r="O53" s="147">
        <f t="shared" si="35"/>
        <v>0.11702873160476523</v>
      </c>
      <c r="P53" s="147">
        <f t="shared" si="36"/>
        <v>0.14435879467414148</v>
      </c>
      <c r="Q53" s="147">
        <f t="shared" si="37"/>
        <v>0.19621583742116333</v>
      </c>
      <c r="R53" s="147">
        <f t="shared" si="38"/>
        <v>0.23125437981779964</v>
      </c>
      <c r="S53" s="147">
        <f t="shared" si="39"/>
        <v>0.2599859845830414</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29:Z34">
    <sortCondition ref="Z29:Z34"/>
  </sortState>
  <mergeCells count="12">
    <mergeCell ref="A17:W17"/>
    <mergeCell ref="A27:W27"/>
    <mergeCell ref="A36:S36"/>
    <mergeCell ref="A46:S46"/>
    <mergeCell ref="A1:Z1"/>
    <mergeCell ref="A4:H4"/>
    <mergeCell ref="A5:A6"/>
    <mergeCell ref="B5:B6"/>
    <mergeCell ref="C5:C6"/>
    <mergeCell ref="D5:D6"/>
    <mergeCell ref="E5:F5"/>
    <mergeCell ref="G5:H5"/>
  </mergeCells>
  <pageMargins left="0.7" right="0.7" top="0.75" bottom="0.75" header="0.3" footer="0.3"/>
  <pageSetup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688C9-860C-4BEA-8E5F-2DBE6FB34137}">
  <sheetPr>
    <tabColor rgb="FF605677"/>
  </sheetPr>
  <dimension ref="A1:AJ23"/>
  <sheetViews>
    <sheetView zoomScaleNormal="100" workbookViewId="0">
      <selection activeCell="C8" sqref="C8"/>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445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446</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90" t="s">
        <v>188</v>
      </c>
      <c r="B4" s="191">
        <v>2001</v>
      </c>
      <c r="C4" s="191">
        <v>2002</v>
      </c>
      <c r="D4" s="191">
        <v>2003</v>
      </c>
      <c r="E4" s="191">
        <v>2004</v>
      </c>
      <c r="F4" s="191">
        <v>2005</v>
      </c>
      <c r="G4" s="191">
        <v>2006</v>
      </c>
      <c r="H4" s="191">
        <v>2007</v>
      </c>
      <c r="I4" s="191">
        <v>2008</v>
      </c>
      <c r="J4" s="191">
        <v>2009</v>
      </c>
      <c r="K4" s="191">
        <v>2010</v>
      </c>
      <c r="L4" s="191">
        <v>2011</v>
      </c>
      <c r="M4" s="191">
        <v>2012</v>
      </c>
      <c r="N4" s="191">
        <v>2013</v>
      </c>
      <c r="O4" s="191">
        <v>2014</v>
      </c>
      <c r="P4" s="191">
        <v>2015</v>
      </c>
      <c r="Q4" s="191">
        <v>2016</v>
      </c>
      <c r="R4" s="191">
        <v>2017</v>
      </c>
      <c r="S4" s="191">
        <v>2018</v>
      </c>
      <c r="T4" s="191">
        <v>2019</v>
      </c>
      <c r="U4" s="191">
        <v>2020</v>
      </c>
      <c r="V4" s="191">
        <v>2021</v>
      </c>
      <c r="W4" s="191">
        <v>2022</v>
      </c>
      <c r="X4" s="142"/>
    </row>
    <row r="5" spans="1:28" x14ac:dyDescent="0.2">
      <c r="A5" s="143" t="s">
        <v>1</v>
      </c>
      <c r="B5" s="144">
        <v>11788</v>
      </c>
      <c r="C5" s="144">
        <v>12994</v>
      </c>
      <c r="D5" s="144">
        <v>14730</v>
      </c>
      <c r="E5" s="144">
        <v>15293</v>
      </c>
      <c r="F5" s="144">
        <v>15971</v>
      </c>
      <c r="G5" s="144">
        <v>16948</v>
      </c>
      <c r="H5" s="144">
        <v>15286</v>
      </c>
      <c r="I5" s="144">
        <v>16130</v>
      </c>
      <c r="J5" s="144">
        <v>16969</v>
      </c>
      <c r="K5" s="144">
        <v>16839</v>
      </c>
      <c r="L5" s="144">
        <v>18416</v>
      </c>
      <c r="M5" s="144">
        <v>19984</v>
      </c>
      <c r="N5" s="144">
        <v>20129</v>
      </c>
      <c r="O5" s="144">
        <v>19461</v>
      </c>
      <c r="P5" s="144">
        <v>20274</v>
      </c>
      <c r="Q5" s="144">
        <v>17889</v>
      </c>
      <c r="R5" s="144">
        <v>16823</v>
      </c>
      <c r="S5" s="144">
        <v>12657</v>
      </c>
      <c r="T5" s="144">
        <v>9202</v>
      </c>
      <c r="U5" s="144">
        <v>5328</v>
      </c>
      <c r="V5" s="144">
        <v>3931</v>
      </c>
      <c r="W5" s="144">
        <v>4850</v>
      </c>
      <c r="X5" s="145"/>
    </row>
    <row r="6" spans="1:28" x14ac:dyDescent="0.2">
      <c r="A6" s="143" t="s">
        <v>228</v>
      </c>
      <c r="B6" s="144">
        <v>258911</v>
      </c>
      <c r="C6" s="144">
        <v>285404</v>
      </c>
      <c r="D6" s="144">
        <v>316048</v>
      </c>
      <c r="E6" s="144">
        <v>332994</v>
      </c>
      <c r="F6" s="144">
        <v>353227</v>
      </c>
      <c r="G6" s="144">
        <v>384863</v>
      </c>
      <c r="H6" s="144">
        <v>374811</v>
      </c>
      <c r="I6" s="144">
        <v>421142</v>
      </c>
      <c r="J6" s="144">
        <v>470661</v>
      </c>
      <c r="K6" s="144">
        <v>501801</v>
      </c>
      <c r="L6" s="144">
        <v>545995</v>
      </c>
      <c r="M6" s="144">
        <v>597926</v>
      </c>
      <c r="N6" s="144">
        <v>611240</v>
      </c>
      <c r="O6" s="144">
        <v>608299</v>
      </c>
      <c r="P6" s="144">
        <v>617568</v>
      </c>
      <c r="Q6" s="144">
        <v>601294</v>
      </c>
      <c r="R6" s="144">
        <v>607182</v>
      </c>
      <c r="S6" s="144">
        <v>584568</v>
      </c>
      <c r="T6" s="144">
        <v>552221</v>
      </c>
      <c r="U6" s="144">
        <v>456070</v>
      </c>
      <c r="V6" s="144">
        <v>385327</v>
      </c>
      <c r="W6" s="144">
        <v>407035</v>
      </c>
      <c r="X6" s="145"/>
    </row>
    <row r="7" spans="1:28" ht="15.75" x14ac:dyDescent="0.25">
      <c r="A7" s="142"/>
      <c r="B7" s="142"/>
      <c r="C7" s="142"/>
      <c r="D7" s="142"/>
      <c r="E7" s="142"/>
      <c r="F7" s="142"/>
      <c r="G7" s="142"/>
      <c r="H7" s="142"/>
      <c r="I7" s="142"/>
      <c r="J7" s="142"/>
      <c r="K7" s="142"/>
      <c r="L7" s="142"/>
      <c r="M7" s="142"/>
      <c r="N7" s="142"/>
      <c r="O7" s="142"/>
      <c r="P7" s="142"/>
      <c r="Q7" s="142"/>
      <c r="R7" s="142"/>
      <c r="S7" s="142"/>
      <c r="T7" s="142"/>
      <c r="U7" s="142"/>
      <c r="V7" s="142"/>
      <c r="W7" s="142"/>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ht="15.75" x14ac:dyDescent="0.25">
      <c r="A9" s="315" t="s">
        <v>447</v>
      </c>
      <c r="B9" s="315"/>
      <c r="C9" s="315"/>
      <c r="D9" s="315"/>
      <c r="E9" s="315"/>
      <c r="F9" s="315"/>
      <c r="G9" s="315"/>
      <c r="H9" s="315"/>
      <c r="I9" s="315"/>
      <c r="J9" s="315"/>
      <c r="K9" s="315"/>
      <c r="L9" s="315"/>
      <c r="M9" s="315"/>
      <c r="N9" s="315"/>
      <c r="O9" s="315"/>
      <c r="P9" s="315"/>
      <c r="Q9" s="315"/>
      <c r="R9" s="315"/>
      <c r="S9" s="315"/>
      <c r="T9" s="315"/>
      <c r="U9" s="315"/>
      <c r="V9" s="315"/>
      <c r="W9" s="315"/>
    </row>
    <row r="10" spans="1:28" x14ac:dyDescent="0.2">
      <c r="A10" s="190" t="s">
        <v>188</v>
      </c>
      <c r="B10" s="191">
        <v>2001</v>
      </c>
      <c r="C10" s="191">
        <v>2002</v>
      </c>
      <c r="D10" s="191">
        <v>2003</v>
      </c>
      <c r="E10" s="191">
        <v>2004</v>
      </c>
      <c r="F10" s="191">
        <v>2005</v>
      </c>
      <c r="G10" s="191">
        <v>2006</v>
      </c>
      <c r="H10" s="191">
        <v>2007</v>
      </c>
      <c r="I10" s="191">
        <v>2008</v>
      </c>
      <c r="J10" s="191">
        <v>2009</v>
      </c>
      <c r="K10" s="191">
        <v>2010</v>
      </c>
      <c r="L10" s="191">
        <v>2011</v>
      </c>
      <c r="M10" s="191">
        <v>2012</v>
      </c>
      <c r="N10" s="191">
        <v>2013</v>
      </c>
      <c r="O10" s="191">
        <v>2014</v>
      </c>
      <c r="P10" s="191">
        <v>2015</v>
      </c>
      <c r="Q10" s="191">
        <v>2016</v>
      </c>
      <c r="R10" s="191">
        <v>2017</v>
      </c>
      <c r="S10" s="191">
        <v>2018</v>
      </c>
      <c r="T10" s="191">
        <v>2019</v>
      </c>
      <c r="U10" s="191">
        <v>2020</v>
      </c>
      <c r="V10" s="191">
        <v>2021</v>
      </c>
      <c r="W10" s="191">
        <v>2022</v>
      </c>
    </row>
    <row r="11" spans="1:28" x14ac:dyDescent="0.2">
      <c r="A11" s="143" t="s">
        <v>1</v>
      </c>
      <c r="B11" s="171">
        <f>(B5-B5)/B5</f>
        <v>0</v>
      </c>
      <c r="C11" s="171">
        <f>(C5-B5)/B5</f>
        <v>0.10230743128605362</v>
      </c>
      <c r="D11" s="171">
        <f>(D5-B5)/B5</f>
        <v>0.2495758398371225</v>
      </c>
      <c r="E11" s="171">
        <f>(E5-B5)/B5</f>
        <v>0.29733627417712927</v>
      </c>
      <c r="F11" s="171">
        <f>(F5-B5)/B5</f>
        <v>0.35485239226331861</v>
      </c>
      <c r="G11" s="171">
        <f>(G5-B5)/B5</f>
        <v>0.43773328808958262</v>
      </c>
      <c r="H11" s="171">
        <f>(H5-B5)/B5</f>
        <v>0.29674244994910076</v>
      </c>
      <c r="I11" s="171">
        <f>(I5-B5)/B5</f>
        <v>0.36834068544282322</v>
      </c>
      <c r="J11" s="171">
        <f>(J5-B5)/B5</f>
        <v>0.43951476077366813</v>
      </c>
      <c r="K11" s="171">
        <f>(K5-B5)/B5</f>
        <v>0.42848659653885307</v>
      </c>
      <c r="L11" s="171">
        <f>(L5-B5)/B5</f>
        <v>0.56226671191041733</v>
      </c>
      <c r="M11" s="171">
        <f>(M5-B5)/B5</f>
        <v>0.69528333898880212</v>
      </c>
      <c r="N11" s="171">
        <f>(N5-B5)/B5</f>
        <v>0.70758398371224973</v>
      </c>
      <c r="O11" s="171">
        <f>(O5-B5)/B5</f>
        <v>0.65091618595181544</v>
      </c>
      <c r="P11" s="171">
        <f>(P5-B5)/B5</f>
        <v>0.71988462843569734</v>
      </c>
      <c r="Q11" s="171">
        <f>(Q5-B5)/B5</f>
        <v>0.51756023074312862</v>
      </c>
      <c r="R11" s="171">
        <f>(R5-B5)/B5</f>
        <v>0.42712928401764505</v>
      </c>
      <c r="S11" s="171">
        <f>(S5-B5)/B5</f>
        <v>7.3719036308109942E-2</v>
      </c>
      <c r="T11" s="171">
        <f>(T5-B5)/B5</f>
        <v>-0.21937563624024431</v>
      </c>
      <c r="U11" s="171">
        <f>(U5-B5)/B5</f>
        <v>-0.54801493043773331</v>
      </c>
      <c r="V11" s="171">
        <f>(V5-B5)/B5</f>
        <v>-0.66652527994570754</v>
      </c>
      <c r="W11" s="171">
        <f>(W5-B5)/B5</f>
        <v>-0.58856464200882253</v>
      </c>
    </row>
    <row r="12" spans="1:28" x14ac:dyDescent="0.2">
      <c r="A12" s="143" t="s">
        <v>228</v>
      </c>
      <c r="B12" s="171">
        <f>(B6-B6)/B6</f>
        <v>0</v>
      </c>
      <c r="C12" s="171">
        <f>(C6-B6)/B6</f>
        <v>0.10232473707181232</v>
      </c>
      <c r="D12" s="171">
        <f>(D6-B6)/B6</f>
        <v>0.22068201042056923</v>
      </c>
      <c r="E12" s="171">
        <f>(E6-B6)/B6</f>
        <v>0.28613307275473038</v>
      </c>
      <c r="F12" s="171">
        <f>(F6-B6)/B6</f>
        <v>0.36427961732023745</v>
      </c>
      <c r="G12" s="171">
        <f>(G6-B6)/B6</f>
        <v>0.48646832309171878</v>
      </c>
      <c r="H12" s="171">
        <f>(H6-B6)/B6</f>
        <v>0.44764417116306376</v>
      </c>
      <c r="I12" s="171">
        <f>(I6-B6)/B6</f>
        <v>0.62658983202722174</v>
      </c>
      <c r="J12" s="171">
        <f>(J6-B6)/B6</f>
        <v>0.8178486043466674</v>
      </c>
      <c r="K12" s="171">
        <f>(K6-B6)/B6</f>
        <v>0.93812159390678651</v>
      </c>
      <c r="L12" s="171">
        <f>(L6-B6)/B6</f>
        <v>1.1088134532715874</v>
      </c>
      <c r="M12" s="171">
        <f>(M6-B6)/B6</f>
        <v>1.3093881681349961</v>
      </c>
      <c r="N12" s="171">
        <f>(N6-B6)/B6</f>
        <v>1.3608112440182147</v>
      </c>
      <c r="O12" s="171">
        <f>(O6-B6)/B6</f>
        <v>1.3494521283375369</v>
      </c>
      <c r="P12" s="171">
        <f>(P6-B6)/B6</f>
        <v>1.385252075037368</v>
      </c>
      <c r="Q12" s="171">
        <f>(Q6-B6)/B6</f>
        <v>1.322396499183117</v>
      </c>
      <c r="R12" s="171">
        <f>(R6-B6)/B6</f>
        <v>1.3451379045309007</v>
      </c>
      <c r="S12" s="171">
        <f>(S6-B6)/B6</f>
        <v>1.2577951496846407</v>
      </c>
      <c r="T12" s="171">
        <f>(T6-B6)/B6</f>
        <v>1.1328603265214687</v>
      </c>
      <c r="U12" s="171">
        <f>(U6-B6)/B6</f>
        <v>0.76149333168540545</v>
      </c>
      <c r="V12" s="171">
        <f>(V6-B6)/B6</f>
        <v>0.48826044470879953</v>
      </c>
      <c r="W12" s="171">
        <f>(W6-B6)/B6</f>
        <v>0.57210392760446638</v>
      </c>
    </row>
    <row r="14" spans="1:28" ht="15.75" x14ac:dyDescent="0.25">
      <c r="A14" s="315" t="s">
        <v>448</v>
      </c>
      <c r="B14" s="315"/>
      <c r="C14" s="315"/>
      <c r="D14" s="315"/>
      <c r="E14" s="315"/>
      <c r="F14" s="315"/>
      <c r="G14" s="315"/>
      <c r="H14" s="315"/>
      <c r="I14" s="315"/>
      <c r="J14" s="315"/>
      <c r="K14" s="315"/>
      <c r="L14" s="315"/>
      <c r="M14" s="315"/>
      <c r="N14" s="315"/>
      <c r="O14" s="315"/>
      <c r="P14" s="315"/>
      <c r="Q14" s="315"/>
      <c r="R14" s="315"/>
      <c r="S14" s="315"/>
      <c r="T14"/>
      <c r="U14"/>
      <c r="V14"/>
      <c r="W14"/>
    </row>
    <row r="15" spans="1:28" ht="15" x14ac:dyDescent="0.25">
      <c r="A15" s="190" t="s">
        <v>188</v>
      </c>
      <c r="B15" s="191">
        <v>2005</v>
      </c>
      <c r="C15" s="191">
        <v>2006</v>
      </c>
      <c r="D15" s="191">
        <v>2007</v>
      </c>
      <c r="E15" s="191">
        <v>2008</v>
      </c>
      <c r="F15" s="191">
        <v>2009</v>
      </c>
      <c r="G15" s="191">
        <v>2010</v>
      </c>
      <c r="H15" s="191">
        <v>2011</v>
      </c>
      <c r="I15" s="191">
        <v>2012</v>
      </c>
      <c r="J15" s="191">
        <v>2013</v>
      </c>
      <c r="K15" s="191">
        <v>2014</v>
      </c>
      <c r="L15" s="191">
        <v>2015</v>
      </c>
      <c r="M15" s="191">
        <v>2016</v>
      </c>
      <c r="N15" s="191">
        <v>2017</v>
      </c>
      <c r="O15" s="191">
        <v>2018</v>
      </c>
      <c r="P15" s="191">
        <v>2019</v>
      </c>
      <c r="Q15" s="191">
        <v>2020</v>
      </c>
      <c r="R15" s="191">
        <v>2021</v>
      </c>
      <c r="S15" s="191">
        <v>2022</v>
      </c>
      <c r="T15"/>
      <c r="U15"/>
      <c r="V15"/>
      <c r="W15"/>
    </row>
    <row r="16" spans="1:28" ht="15" x14ac:dyDescent="0.25">
      <c r="A16" s="143" t="s">
        <v>1</v>
      </c>
      <c r="B16" s="150">
        <v>15.32</v>
      </c>
      <c r="C16" s="150">
        <v>21.01</v>
      </c>
      <c r="D16" s="150">
        <v>22.48</v>
      </c>
      <c r="E16" s="150">
        <v>23.22</v>
      </c>
      <c r="F16" s="150">
        <v>17.72</v>
      </c>
      <c r="G16" s="150">
        <v>17.16</v>
      </c>
      <c r="H16" s="150">
        <v>15.75</v>
      </c>
      <c r="I16" s="150">
        <v>11.16</v>
      </c>
      <c r="J16" s="150">
        <v>11.12</v>
      </c>
      <c r="K16" s="150">
        <v>11.2</v>
      </c>
      <c r="L16" s="150">
        <v>11.27</v>
      </c>
      <c r="M16" s="150">
        <v>12.13</v>
      </c>
      <c r="N16" s="150">
        <v>12.15</v>
      </c>
      <c r="O16" s="150">
        <v>13.42</v>
      </c>
      <c r="P16" s="150">
        <v>12.81</v>
      </c>
      <c r="Q16" s="150">
        <v>12.32</v>
      </c>
      <c r="R16" s="150">
        <v>14.44</v>
      </c>
      <c r="S16" s="151">
        <v>15.04</v>
      </c>
      <c r="T16"/>
      <c r="U16"/>
      <c r="V16"/>
      <c r="W16"/>
    </row>
    <row r="17" spans="1:23" ht="15" x14ac:dyDescent="0.25">
      <c r="A17" s="143" t="s">
        <v>228</v>
      </c>
      <c r="B17" s="150">
        <v>13.41</v>
      </c>
      <c r="C17" s="150">
        <v>13.53</v>
      </c>
      <c r="D17" s="150">
        <v>14.03</v>
      </c>
      <c r="E17" s="150">
        <v>14.6</v>
      </c>
      <c r="F17" s="150">
        <v>15.01</v>
      </c>
      <c r="G17" s="150">
        <v>14.22</v>
      </c>
      <c r="H17" s="150">
        <v>14.03</v>
      </c>
      <c r="I17" s="150">
        <v>12.7</v>
      </c>
      <c r="J17" s="150">
        <v>12.66</v>
      </c>
      <c r="K17" s="150">
        <v>12.92</v>
      </c>
      <c r="L17" s="150">
        <v>13.12</v>
      </c>
      <c r="M17" s="150">
        <v>13.53</v>
      </c>
      <c r="N17" s="150">
        <v>13.73</v>
      </c>
      <c r="O17" s="150">
        <v>13.89</v>
      </c>
      <c r="P17" s="150">
        <v>13.85</v>
      </c>
      <c r="Q17" s="150">
        <v>14.13</v>
      </c>
      <c r="R17" s="150">
        <v>14.48</v>
      </c>
      <c r="S17" s="151">
        <v>16.95</v>
      </c>
      <c r="T17"/>
      <c r="U17"/>
      <c r="V17"/>
      <c r="W17"/>
    </row>
    <row r="18" spans="1:23" ht="15" x14ac:dyDescent="0.25">
      <c r="B18" s="46"/>
      <c r="C18" s="46"/>
      <c r="D18" s="46"/>
      <c r="E18" s="46"/>
      <c r="F18" s="46"/>
      <c r="G18" s="46"/>
      <c r="H18" s="46"/>
      <c r="I18" s="46"/>
      <c r="J18" s="46"/>
      <c r="K18" s="46"/>
      <c r="L18" s="46"/>
      <c r="M18" s="46"/>
      <c r="N18" s="46"/>
      <c r="O18" s="46"/>
      <c r="P18" s="46"/>
      <c r="Q18" s="46"/>
      <c r="R18" s="46"/>
      <c r="S18" s="46"/>
      <c r="T18"/>
      <c r="U18"/>
      <c r="V18"/>
      <c r="W18"/>
    </row>
    <row r="19" spans="1:23" ht="15" x14ac:dyDescent="0.25">
      <c r="D19" s="1"/>
      <c r="K19" s="40"/>
      <c r="O19" s="1"/>
      <c r="T19"/>
      <c r="U19"/>
      <c r="V19"/>
      <c r="W19"/>
    </row>
    <row r="20" spans="1:23" ht="15.75" x14ac:dyDescent="0.25">
      <c r="A20" s="315" t="s">
        <v>449</v>
      </c>
      <c r="B20" s="315"/>
      <c r="C20" s="315"/>
      <c r="D20" s="315"/>
      <c r="E20" s="315"/>
      <c r="F20" s="315"/>
      <c r="G20" s="315"/>
      <c r="H20" s="315"/>
      <c r="I20" s="315"/>
      <c r="J20" s="315"/>
      <c r="K20" s="315"/>
      <c r="L20" s="315"/>
      <c r="M20" s="315"/>
      <c r="N20" s="315"/>
      <c r="O20" s="315"/>
      <c r="P20" s="315"/>
      <c r="Q20" s="315"/>
      <c r="R20" s="315"/>
      <c r="S20" s="315"/>
      <c r="T20"/>
      <c r="U20"/>
      <c r="V20"/>
      <c r="W20"/>
    </row>
    <row r="21" spans="1:23" ht="15" x14ac:dyDescent="0.25">
      <c r="A21" s="190" t="s">
        <v>188</v>
      </c>
      <c r="B21" s="191">
        <v>2005</v>
      </c>
      <c r="C21" s="191">
        <v>2006</v>
      </c>
      <c r="D21" s="191">
        <v>2007</v>
      </c>
      <c r="E21" s="191">
        <v>2008</v>
      </c>
      <c r="F21" s="191">
        <v>2009</v>
      </c>
      <c r="G21" s="191">
        <v>2010</v>
      </c>
      <c r="H21" s="191">
        <v>2011</v>
      </c>
      <c r="I21" s="191">
        <v>2012</v>
      </c>
      <c r="J21" s="191">
        <v>2013</v>
      </c>
      <c r="K21" s="191">
        <v>2014</v>
      </c>
      <c r="L21" s="191">
        <v>2015</v>
      </c>
      <c r="M21" s="191">
        <v>2016</v>
      </c>
      <c r="N21" s="191">
        <v>2017</v>
      </c>
      <c r="O21" s="191">
        <v>2018</v>
      </c>
      <c r="P21" s="191">
        <v>2019</v>
      </c>
      <c r="Q21" s="191">
        <v>2020</v>
      </c>
      <c r="R21" s="191">
        <v>2021</v>
      </c>
      <c r="S21" s="191">
        <v>2022</v>
      </c>
      <c r="T21"/>
      <c r="U21"/>
      <c r="V21"/>
      <c r="W21"/>
    </row>
    <row r="22" spans="1:23" ht="15" x14ac:dyDescent="0.25">
      <c r="A22" s="143" t="s">
        <v>232</v>
      </c>
      <c r="B22" s="171">
        <f>(B16-B16)/B16</f>
        <v>0</v>
      </c>
      <c r="C22" s="171">
        <f>(C16-B16)/B16</f>
        <v>0.37140992167101833</v>
      </c>
      <c r="D22" s="171">
        <f>(D16-B16)/B16</f>
        <v>0.46736292428198434</v>
      </c>
      <c r="E22" s="171">
        <f>(E16-B16)/B16</f>
        <v>0.51566579634464738</v>
      </c>
      <c r="F22" s="171">
        <f>(F16-B16)/B16</f>
        <v>0.15665796344647509</v>
      </c>
      <c r="G22" s="171">
        <f>(G16-B16)/B16</f>
        <v>0.12010443864229764</v>
      </c>
      <c r="H22" s="171">
        <f>(H16-B16)/B16</f>
        <v>2.8067885117493453E-2</v>
      </c>
      <c r="I22" s="171">
        <f>(I16-B16)/B16</f>
        <v>-0.27154046997389036</v>
      </c>
      <c r="J22" s="171">
        <f>(J16-B16)/B16</f>
        <v>-0.27415143603133163</v>
      </c>
      <c r="K22" s="171">
        <f>(K16-B16)/B16</f>
        <v>-0.26892950391644915</v>
      </c>
      <c r="L22" s="171">
        <f>(L16-B16)/B16</f>
        <v>-0.26436031331592691</v>
      </c>
      <c r="M22" s="171">
        <f>(M16-B16)/B16</f>
        <v>-0.20822454308093991</v>
      </c>
      <c r="N22" s="171">
        <f>(N16-B16)/B16</f>
        <v>-0.2069190600522193</v>
      </c>
      <c r="O22" s="171">
        <f>(O16-B16)/B16</f>
        <v>-0.12402088772845955</v>
      </c>
      <c r="P22" s="171">
        <f>(P16-B16)/B16</f>
        <v>-0.16383812010443863</v>
      </c>
      <c r="Q22" s="171">
        <f>(Q16-B16)/B16</f>
        <v>-0.195822454308094</v>
      </c>
      <c r="R22" s="171">
        <f>(R16-B16)/B16</f>
        <v>-5.7441253263707623E-2</v>
      </c>
      <c r="S22" s="171">
        <f>(S16-B16)/B16</f>
        <v>-1.8276762402088847E-2</v>
      </c>
      <c r="T22"/>
      <c r="U22"/>
      <c r="V22"/>
      <c r="W22"/>
    </row>
    <row r="23" spans="1:23" ht="15" x14ac:dyDescent="0.25">
      <c r="A23" s="143" t="s">
        <v>228</v>
      </c>
      <c r="B23" s="171">
        <f>(B17-B17)/B17</f>
        <v>0</v>
      </c>
      <c r="C23" s="171">
        <f>(C17-B17)/B17</f>
        <v>8.94854586129748E-3</v>
      </c>
      <c r="D23" s="171">
        <f>(D17-B17)/B17</f>
        <v>4.6234153616703896E-2</v>
      </c>
      <c r="E23" s="171">
        <f>(E17-B17)/B17</f>
        <v>8.8739746457867225E-2</v>
      </c>
      <c r="F23" s="171">
        <f>(F17-B17)/B17</f>
        <v>0.1193139448173005</v>
      </c>
      <c r="G23" s="171">
        <f>(G17-B17)/B17</f>
        <v>6.0402684563758427E-2</v>
      </c>
      <c r="H23" s="171">
        <f>(H17-B17)/B17</f>
        <v>4.6234153616703896E-2</v>
      </c>
      <c r="I23" s="171">
        <f>(I17-B17)/B17</f>
        <v>-5.2945563012677173E-2</v>
      </c>
      <c r="J23" s="171">
        <f>(J17-B17)/B17</f>
        <v>-5.5928411633109618E-2</v>
      </c>
      <c r="K23" s="171">
        <f>(K17-B17)/B17</f>
        <v>-3.65398956002983E-2</v>
      </c>
      <c r="L23" s="171">
        <f>(L17-B17)/B17</f>
        <v>-2.1625652498135788E-2</v>
      </c>
      <c r="M23" s="171">
        <f>(M17-B17)/B17</f>
        <v>8.94854586129748E-3</v>
      </c>
      <c r="N23" s="171">
        <f>(N17-B17)/B17</f>
        <v>2.3862788963460127E-2</v>
      </c>
      <c r="O23" s="171">
        <f>(O17-B17)/B17</f>
        <v>3.5794183445190191E-2</v>
      </c>
      <c r="P23" s="171">
        <f>(P17-B17)/B17</f>
        <v>3.2811334824757607E-2</v>
      </c>
      <c r="Q23" s="171">
        <f>(Q17-B17)/B17</f>
        <v>5.3691275167785282E-2</v>
      </c>
      <c r="R23" s="171">
        <f>(R17-B17)/B17</f>
        <v>7.9791200596569745E-2</v>
      </c>
      <c r="S23" s="171">
        <f>(S17-B17)/B17</f>
        <v>0.26398210290827734</v>
      </c>
      <c r="T23"/>
      <c r="U23"/>
      <c r="V23"/>
      <c r="W23"/>
    </row>
  </sheetData>
  <mergeCells count="5">
    <mergeCell ref="A1:AB1"/>
    <mergeCell ref="A3:W3"/>
    <mergeCell ref="A9:W9"/>
    <mergeCell ref="A14:S14"/>
    <mergeCell ref="A20:S20"/>
  </mergeCell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8A6D2-C8FF-4765-B7F0-3D9744F8172F}">
  <sheetPr>
    <tabColor rgb="FF605677"/>
  </sheetPr>
  <dimension ref="A1:AI18"/>
  <sheetViews>
    <sheetView zoomScaleNormal="100" workbookViewId="0">
      <selection activeCell="C8" sqref="C8"/>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450</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365</v>
      </c>
      <c r="B4" s="320"/>
      <c r="C4" s="320"/>
      <c r="D4" s="320"/>
    </row>
    <row r="5" spans="1:27" ht="15" x14ac:dyDescent="0.25">
      <c r="A5" s="321" t="s">
        <v>211</v>
      </c>
      <c r="B5" s="322"/>
      <c r="C5" s="321" t="s">
        <v>212</v>
      </c>
      <c r="D5" s="321"/>
    </row>
    <row r="6" spans="1:27" x14ac:dyDescent="0.2">
      <c r="A6" s="154" t="s">
        <v>213</v>
      </c>
      <c r="B6" s="155" t="s">
        <v>194</v>
      </c>
      <c r="C6" s="154" t="s">
        <v>213</v>
      </c>
      <c r="D6" s="156" t="s">
        <v>194</v>
      </c>
    </row>
    <row r="7" spans="1:27" x14ac:dyDescent="0.2">
      <c r="A7" s="1" t="s">
        <v>451</v>
      </c>
      <c r="B7" s="157">
        <f>6183/37807</f>
        <v>0.16354114317454441</v>
      </c>
      <c r="C7" s="1" t="s">
        <v>451</v>
      </c>
      <c r="D7" s="158">
        <f>3312/22282</f>
        <v>0.14864015797504712</v>
      </c>
    </row>
    <row r="8" spans="1:27" x14ac:dyDescent="0.2">
      <c r="A8" s="1" t="s">
        <v>411</v>
      </c>
      <c r="B8" s="157">
        <f>4762/37807</f>
        <v>0.12595551088422779</v>
      </c>
      <c r="C8" s="1" t="s">
        <v>219</v>
      </c>
      <c r="D8" s="158">
        <f>3004/22282</f>
        <v>0.13481734135176376</v>
      </c>
    </row>
    <row r="9" spans="1:27" x14ac:dyDescent="0.2">
      <c r="A9" s="1" t="s">
        <v>216</v>
      </c>
      <c r="B9" s="157">
        <f>3368/37807</f>
        <v>8.9084032057555482E-2</v>
      </c>
      <c r="C9" s="1" t="s">
        <v>411</v>
      </c>
      <c r="D9" s="158">
        <f>2642/22282</f>
        <v>0.11857104389193071</v>
      </c>
    </row>
    <row r="10" spans="1:27" x14ac:dyDescent="0.2">
      <c r="A10" s="1" t="s">
        <v>219</v>
      </c>
      <c r="B10" s="157">
        <f>2413/37807</f>
        <v>6.3824159547173798E-2</v>
      </c>
      <c r="C10" s="1" t="s">
        <v>220</v>
      </c>
      <c r="D10" s="158">
        <f>2501/22282</f>
        <v>0.11224306615205099</v>
      </c>
    </row>
    <row r="11" spans="1:27" x14ac:dyDescent="0.2">
      <c r="A11" s="1" t="s">
        <v>452</v>
      </c>
      <c r="B11" s="157">
        <f>2320/37807</f>
        <v>6.1364297616843443E-2</v>
      </c>
      <c r="C11" s="1" t="s">
        <v>216</v>
      </c>
      <c r="D11" s="158">
        <f>2156/22282</f>
        <v>9.6759716362983569E-2</v>
      </c>
    </row>
    <row r="12" spans="1:27" x14ac:dyDescent="0.2">
      <c r="A12" s="1" t="s">
        <v>222</v>
      </c>
      <c r="B12" s="157">
        <f>2161/37807</f>
        <v>5.7158727219827017E-2</v>
      </c>
      <c r="C12" s="1" t="s">
        <v>453</v>
      </c>
      <c r="D12" s="158">
        <f>2140/22282</f>
        <v>9.604164796696886E-2</v>
      </c>
    </row>
    <row r="13" spans="1:27" x14ac:dyDescent="0.2">
      <c r="A13" s="1" t="s">
        <v>217</v>
      </c>
      <c r="B13" s="157">
        <f>2143/37807</f>
        <v>5.6682624910730818E-2</v>
      </c>
      <c r="C13" s="1" t="s">
        <v>217</v>
      </c>
      <c r="D13" s="158">
        <f>1702/22282</f>
        <v>7.6384525626065888E-2</v>
      </c>
    </row>
    <row r="14" spans="1:27" x14ac:dyDescent="0.2">
      <c r="A14" s="1" t="s">
        <v>224</v>
      </c>
      <c r="B14" s="157">
        <f>2048/37807</f>
        <v>5.4169862723834214E-2</v>
      </c>
      <c r="C14" s="1" t="s">
        <v>222</v>
      </c>
      <c r="D14" s="158">
        <f>1606/22282</f>
        <v>7.2076115249977563E-2</v>
      </c>
    </row>
    <row r="15" spans="1:27" x14ac:dyDescent="0.2">
      <c r="A15" s="1" t="s">
        <v>220</v>
      </c>
      <c r="B15" s="157">
        <f>1944/37807</f>
        <v>5.1419049382389503E-2</v>
      </c>
      <c r="C15" s="1" t="s">
        <v>452</v>
      </c>
      <c r="D15" s="158">
        <f>1577/22282</f>
        <v>7.0774616282200886E-2</v>
      </c>
    </row>
    <row r="16" spans="1:27" x14ac:dyDescent="0.2">
      <c r="A16" s="1" t="s">
        <v>223</v>
      </c>
      <c r="B16" s="157">
        <f>1791/37807</f>
        <v>4.7372179755071811E-2</v>
      </c>
      <c r="C16" s="1" t="s">
        <v>223</v>
      </c>
      <c r="D16" s="158">
        <f>1541/22282</f>
        <v>6.9158962391167755E-2</v>
      </c>
    </row>
    <row r="17" spans="2:2" x14ac:dyDescent="0.2">
      <c r="B17" s="1" t="s">
        <v>454</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BEF00-CDFB-4341-855B-DE8CE01C2E53}">
  <sheetPr>
    <tabColor theme="5" tint="0.79998168889431442"/>
  </sheetPr>
  <dimension ref="A1:AF43"/>
  <sheetViews>
    <sheetView zoomScaleNormal="100" workbookViewId="0">
      <selection activeCell="C8" sqref="C8"/>
    </sheetView>
  </sheetViews>
  <sheetFormatPr defaultColWidth="9.140625" defaultRowHeight="14.25" x14ac:dyDescent="0.2"/>
  <cols>
    <col min="1" max="1" width="36.7109375" style="1" customWidth="1"/>
    <col min="2" max="2" width="34.42578125" style="1" customWidth="1"/>
    <col min="3" max="3" width="33.7109375" style="1" customWidth="1"/>
    <col min="4" max="4" width="36.28515625" style="1" customWidth="1"/>
    <col min="5" max="6" width="9.140625" style="1"/>
    <col min="7" max="7" width="46.140625" style="1" customWidth="1"/>
    <col min="8" max="16384" width="9.140625" style="1"/>
  </cols>
  <sheetData>
    <row r="1" spans="1:32" ht="23.25" x14ac:dyDescent="0.35">
      <c r="A1" s="262" t="s">
        <v>68</v>
      </c>
      <c r="B1" s="262"/>
      <c r="C1" s="262"/>
      <c r="D1" s="262"/>
      <c r="E1" s="262"/>
      <c r="F1" s="262"/>
      <c r="G1" s="262"/>
      <c r="H1" s="262"/>
      <c r="I1" s="262"/>
      <c r="J1" s="262"/>
      <c r="K1" s="262"/>
      <c r="N1" s="40"/>
      <c r="O1" s="84"/>
      <c r="W1" s="84"/>
      <c r="AF1" s="84"/>
    </row>
    <row r="2" spans="1:32" s="85" customFormat="1" ht="23.25" x14ac:dyDescent="0.35">
      <c r="A2" s="13"/>
      <c r="B2" s="13"/>
      <c r="C2" s="13"/>
      <c r="D2" s="13"/>
      <c r="E2" s="13"/>
      <c r="F2" s="13"/>
      <c r="G2" s="13"/>
      <c r="H2" s="13"/>
      <c r="I2" s="13"/>
      <c r="J2" s="13"/>
      <c r="K2" s="13"/>
      <c r="N2" s="86"/>
    </row>
    <row r="3" spans="1:32" ht="18" x14ac:dyDescent="0.25">
      <c r="A3" s="14" t="s">
        <v>69</v>
      </c>
    </row>
    <row r="4" spans="1:32" ht="18" x14ac:dyDescent="0.25">
      <c r="A4" s="87"/>
    </row>
    <row r="5" spans="1:32" ht="15" x14ac:dyDescent="0.25">
      <c r="A5" s="88" t="s">
        <v>70</v>
      </c>
    </row>
    <row r="6" spans="1:32" ht="70.5" customHeight="1" x14ac:dyDescent="0.2">
      <c r="A6" s="272" t="s">
        <v>71</v>
      </c>
      <c r="B6" s="272"/>
      <c r="C6" s="272"/>
      <c r="D6" s="272"/>
    </row>
    <row r="8" spans="1:32" ht="15" x14ac:dyDescent="0.25">
      <c r="A8" s="88" t="s">
        <v>72</v>
      </c>
    </row>
    <row r="9" spans="1:32" ht="91.5" customHeight="1" x14ac:dyDescent="0.2">
      <c r="A9" s="272" t="s">
        <v>73</v>
      </c>
      <c r="B9" s="272"/>
      <c r="C9" s="272"/>
      <c r="D9" s="272"/>
    </row>
    <row r="10" spans="1:32" ht="15.75" customHeight="1" x14ac:dyDescent="0.2">
      <c r="A10" s="89"/>
      <c r="B10" s="89"/>
      <c r="C10" s="89"/>
      <c r="D10" s="89"/>
    </row>
    <row r="11" spans="1:32" ht="30.75" customHeight="1" x14ac:dyDescent="0.2">
      <c r="A11" s="272" t="s">
        <v>74</v>
      </c>
      <c r="B11" s="272"/>
      <c r="C11" s="272"/>
      <c r="D11" s="272"/>
    </row>
    <row r="12" spans="1:32" ht="15" thickBot="1" x14ac:dyDescent="0.25">
      <c r="A12" s="89"/>
      <c r="B12" s="89"/>
      <c r="C12" s="89"/>
      <c r="D12" s="89"/>
    </row>
    <row r="13" spans="1:32" ht="15.75" thickBot="1" x14ac:dyDescent="0.25">
      <c r="A13" s="269" t="s">
        <v>75</v>
      </c>
      <c r="B13" s="270"/>
    </row>
    <row r="14" spans="1:32" ht="15.75" thickBot="1" x14ac:dyDescent="0.25">
      <c r="A14" s="90" t="s">
        <v>76</v>
      </c>
      <c r="B14" s="91" t="s">
        <v>77</v>
      </c>
    </row>
    <row r="15" spans="1:32" ht="15" thickBot="1" x14ac:dyDescent="0.25">
      <c r="A15" s="92" t="s">
        <v>78</v>
      </c>
      <c r="B15" s="93" t="s">
        <v>79</v>
      </c>
    </row>
    <row r="16" spans="1:32" ht="29.25" thickBot="1" x14ac:dyDescent="0.25">
      <c r="A16" s="92" t="s">
        <v>80</v>
      </c>
      <c r="B16" s="93" t="s">
        <v>81</v>
      </c>
    </row>
    <row r="17" spans="1:4" ht="29.25" thickBot="1" x14ac:dyDescent="0.25">
      <c r="A17" s="92" t="s">
        <v>82</v>
      </c>
      <c r="B17" s="93" t="s">
        <v>83</v>
      </c>
    </row>
    <row r="18" spans="1:4" ht="15" thickBot="1" x14ac:dyDescent="0.25">
      <c r="A18" s="92" t="s">
        <v>84</v>
      </c>
      <c r="B18" s="93" t="s">
        <v>85</v>
      </c>
    </row>
    <row r="19" spans="1:4" ht="15" thickBot="1" x14ac:dyDescent="0.25">
      <c r="A19" s="92" t="s">
        <v>86</v>
      </c>
      <c r="B19" s="93" t="s">
        <v>87</v>
      </c>
    </row>
    <row r="20" spans="1:4" ht="29.25" thickBot="1" x14ac:dyDescent="0.25">
      <c r="A20" s="92" t="s">
        <v>88</v>
      </c>
      <c r="B20" s="93" t="s">
        <v>89</v>
      </c>
    </row>
    <row r="21" spans="1:4" ht="15" thickBot="1" x14ac:dyDescent="0.25">
      <c r="A21" s="92" t="s">
        <v>90</v>
      </c>
      <c r="B21" s="93" t="s">
        <v>91</v>
      </c>
    </row>
    <row r="22" spans="1:4" ht="15" thickBot="1" x14ac:dyDescent="0.25">
      <c r="A22" s="92" t="s">
        <v>92</v>
      </c>
      <c r="B22" s="93" t="s">
        <v>93</v>
      </c>
    </row>
    <row r="24" spans="1:4" ht="60" customHeight="1" x14ac:dyDescent="0.2">
      <c r="A24" s="271" t="s">
        <v>94</v>
      </c>
      <c r="B24" s="271"/>
      <c r="C24" s="271"/>
      <c r="D24" s="271"/>
    </row>
    <row r="25" spans="1:4" ht="15" x14ac:dyDescent="0.25">
      <c r="A25" s="94" t="s">
        <v>95</v>
      </c>
      <c r="B25" s="95" t="s">
        <v>96</v>
      </c>
      <c r="C25" s="95" t="s">
        <v>97</v>
      </c>
      <c r="D25" s="95" t="s">
        <v>98</v>
      </c>
    </row>
    <row r="26" spans="1:4" x14ac:dyDescent="0.2">
      <c r="A26" s="96" t="s">
        <v>52</v>
      </c>
      <c r="B26" s="97" t="s">
        <v>99</v>
      </c>
      <c r="C26" s="97" t="s">
        <v>42</v>
      </c>
      <c r="D26" s="97" t="s">
        <v>100</v>
      </c>
    </row>
    <row r="27" spans="1:4" x14ac:dyDescent="0.2">
      <c r="A27" s="96" t="s">
        <v>54</v>
      </c>
      <c r="B27" s="97" t="s">
        <v>99</v>
      </c>
      <c r="C27" s="97" t="s">
        <v>99</v>
      </c>
      <c r="D27" s="97" t="s">
        <v>100</v>
      </c>
    </row>
    <row r="28" spans="1:4" ht="47.25" customHeight="1" x14ac:dyDescent="0.2">
      <c r="A28" s="96" t="s">
        <v>56</v>
      </c>
      <c r="B28" s="97" t="s">
        <v>99</v>
      </c>
      <c r="C28" s="97" t="s">
        <v>99</v>
      </c>
      <c r="D28" s="97" t="s">
        <v>100</v>
      </c>
    </row>
    <row r="29" spans="1:4" x14ac:dyDescent="0.2">
      <c r="A29" s="96" t="s">
        <v>58</v>
      </c>
      <c r="B29" s="97" t="s">
        <v>99</v>
      </c>
      <c r="C29" s="97" t="s">
        <v>99</v>
      </c>
      <c r="D29" s="97" t="s">
        <v>100</v>
      </c>
    </row>
    <row r="30" spans="1:4" x14ac:dyDescent="0.2">
      <c r="A30" s="96" t="s">
        <v>62</v>
      </c>
      <c r="B30" s="97" t="s">
        <v>99</v>
      </c>
      <c r="C30" s="97" t="s">
        <v>42</v>
      </c>
      <c r="D30" s="97" t="s">
        <v>101</v>
      </c>
    </row>
    <row r="31" spans="1:4" x14ac:dyDescent="0.2">
      <c r="A31" s="96" t="s">
        <v>64</v>
      </c>
      <c r="B31" s="97" t="s">
        <v>99</v>
      </c>
      <c r="C31" s="97" t="s">
        <v>99</v>
      </c>
      <c r="D31" s="97" t="s">
        <v>42</v>
      </c>
    </row>
    <row r="32" spans="1:4" x14ac:dyDescent="0.2">
      <c r="A32" s="96" t="s">
        <v>65</v>
      </c>
      <c r="B32" s="97" t="s">
        <v>99</v>
      </c>
      <c r="C32" s="97" t="s">
        <v>99</v>
      </c>
      <c r="D32" s="97" t="s">
        <v>99</v>
      </c>
    </row>
    <row r="33" spans="1:4" x14ac:dyDescent="0.2">
      <c r="A33" s="96" t="s">
        <v>67</v>
      </c>
      <c r="B33" s="97" t="s">
        <v>99</v>
      </c>
      <c r="C33" s="97" t="s">
        <v>99</v>
      </c>
      <c r="D33" s="97" t="s">
        <v>102</v>
      </c>
    </row>
    <row r="35" spans="1:4" x14ac:dyDescent="0.2">
      <c r="A35" s="98" t="s">
        <v>103</v>
      </c>
    </row>
    <row r="36" spans="1:4" ht="15.75" thickBot="1" x14ac:dyDescent="0.3">
      <c r="A36" s="44" t="s">
        <v>104</v>
      </c>
    </row>
    <row r="37" spans="1:4" ht="30.75" thickBot="1" x14ac:dyDescent="0.25">
      <c r="A37" s="99" t="s">
        <v>105</v>
      </c>
      <c r="B37" s="100" t="s">
        <v>106</v>
      </c>
      <c r="C37" s="100" t="s">
        <v>97</v>
      </c>
      <c r="D37" s="101" t="s">
        <v>107</v>
      </c>
    </row>
    <row r="38" spans="1:4" ht="57.75" thickBot="1" x14ac:dyDescent="0.25">
      <c r="A38" s="102" t="s">
        <v>108</v>
      </c>
      <c r="B38" s="103" t="s">
        <v>109</v>
      </c>
      <c r="C38" s="103" t="s">
        <v>110</v>
      </c>
      <c r="D38" s="103" t="s">
        <v>111</v>
      </c>
    </row>
    <row r="39" spans="1:4" ht="43.5" thickBot="1" x14ac:dyDescent="0.25">
      <c r="A39" s="104" t="s">
        <v>112</v>
      </c>
      <c r="B39" s="103" t="s">
        <v>113</v>
      </c>
      <c r="C39" s="103" t="s">
        <v>111</v>
      </c>
      <c r="D39" s="103" t="s">
        <v>111</v>
      </c>
    </row>
    <row r="40" spans="1:4" ht="57.75" thickBot="1" x14ac:dyDescent="0.25">
      <c r="A40" s="104" t="s">
        <v>114</v>
      </c>
      <c r="B40" s="103" t="s">
        <v>115</v>
      </c>
      <c r="C40" s="103" t="s">
        <v>116</v>
      </c>
      <c r="D40" s="103" t="s">
        <v>79</v>
      </c>
    </row>
    <row r="41" spans="1:4" ht="15.75" thickBot="1" x14ac:dyDescent="0.25">
      <c r="A41" s="102" t="s">
        <v>117</v>
      </c>
      <c r="B41" s="103" t="s">
        <v>118</v>
      </c>
      <c r="C41" s="103" t="s">
        <v>119</v>
      </c>
      <c r="D41" s="103" t="s">
        <v>120</v>
      </c>
    </row>
    <row r="42" spans="1:4" ht="43.5" thickBot="1" x14ac:dyDescent="0.25">
      <c r="A42" s="102" t="s">
        <v>121</v>
      </c>
      <c r="B42" s="103" t="s">
        <v>122</v>
      </c>
      <c r="C42" s="103" t="s">
        <v>123</v>
      </c>
      <c r="D42" s="103" t="s">
        <v>123</v>
      </c>
    </row>
    <row r="43" spans="1:4" ht="57.75" thickBot="1" x14ac:dyDescent="0.25">
      <c r="A43" s="102" t="s">
        <v>124</v>
      </c>
      <c r="B43" s="103" t="s">
        <v>125</v>
      </c>
      <c r="C43" s="103" t="s">
        <v>126</v>
      </c>
      <c r="D43" s="103" t="s">
        <v>127</v>
      </c>
    </row>
  </sheetData>
  <mergeCells count="6">
    <mergeCell ref="A13:B13"/>
    <mergeCell ref="A24:D24"/>
    <mergeCell ref="A1:K1"/>
    <mergeCell ref="A6:D6"/>
    <mergeCell ref="A9:D9"/>
    <mergeCell ref="A11:D11"/>
  </mergeCells>
  <hyperlinks>
    <hyperlink ref="C8" r:id="rId1" display="https://livingwage.mit.edu/metros/19820" xr:uid="{6B0EC810-891C-4DF4-9CAD-94E43B41636A}"/>
  </hyperlinks>
  <pageMargins left="0.7" right="0.7" top="0.75" bottom="0.75" header="0.3" footer="0.3"/>
  <pageSetup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37591B-2EAA-45F4-85A2-AF23E454EB35}">
  <sheetPr>
    <tabColor rgb="FF605677"/>
  </sheetPr>
  <dimension ref="A1:AI79"/>
  <sheetViews>
    <sheetView zoomScaleNormal="100" workbookViewId="0">
      <selection activeCell="C8" sqref="C8"/>
    </sheetView>
  </sheetViews>
  <sheetFormatPr defaultColWidth="9.140625" defaultRowHeight="14.25" x14ac:dyDescent="0.2"/>
  <cols>
    <col min="1" max="1" width="10" style="1" bestFit="1" customWidth="1"/>
    <col min="2" max="2" width="13.140625" style="1" bestFit="1" customWidth="1"/>
    <col min="3" max="3" width="19.7109375" style="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455</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4" t="s">
        <v>456</v>
      </c>
      <c r="B3" s="194"/>
      <c r="C3" s="194"/>
      <c r="D3" s="194"/>
      <c r="F3" s="320" t="s">
        <v>457</v>
      </c>
      <c r="G3" s="320"/>
      <c r="H3" s="320"/>
    </row>
    <row r="4" spans="1:27" ht="28.5" x14ac:dyDescent="0.2">
      <c r="A4" s="192" t="s">
        <v>236</v>
      </c>
      <c r="B4" s="192" t="s">
        <v>237</v>
      </c>
      <c r="C4" s="193" t="s">
        <v>238</v>
      </c>
      <c r="D4" s="1"/>
      <c r="F4" s="192" t="s">
        <v>239</v>
      </c>
      <c r="G4" s="193" t="s">
        <v>240</v>
      </c>
      <c r="H4" s="37" t="s">
        <v>241</v>
      </c>
      <c r="O4" s="1"/>
    </row>
    <row r="5" spans="1:27" x14ac:dyDescent="0.2">
      <c r="A5" s="160">
        <v>43313</v>
      </c>
      <c r="B5" s="159">
        <v>113</v>
      </c>
      <c r="C5" s="82">
        <v>15.45</v>
      </c>
      <c r="D5" s="1"/>
      <c r="F5" s="1" t="s">
        <v>373</v>
      </c>
      <c r="G5" s="159">
        <v>171</v>
      </c>
      <c r="H5" s="206" t="s">
        <v>458</v>
      </c>
      <c r="O5" s="1"/>
    </row>
    <row r="6" spans="1:27" x14ac:dyDescent="0.2">
      <c r="A6" s="160">
        <v>43344</v>
      </c>
      <c r="B6" s="159">
        <v>155</v>
      </c>
      <c r="C6" s="82">
        <v>14.95</v>
      </c>
      <c r="D6" s="1"/>
      <c r="F6" s="1" t="s">
        <v>459</v>
      </c>
      <c r="G6" s="159">
        <v>53</v>
      </c>
      <c r="H6" s="206" t="s">
        <v>427</v>
      </c>
      <c r="O6" s="1"/>
    </row>
    <row r="7" spans="1:27" x14ac:dyDescent="0.2">
      <c r="A7" s="160">
        <v>43374</v>
      </c>
      <c r="B7" s="159">
        <v>241</v>
      </c>
      <c r="C7" s="82">
        <v>13.97</v>
      </c>
      <c r="D7" s="1"/>
      <c r="F7" s="1" t="s">
        <v>460</v>
      </c>
      <c r="G7" s="159">
        <v>41</v>
      </c>
      <c r="H7" s="206" t="s">
        <v>461</v>
      </c>
      <c r="O7" s="1"/>
    </row>
    <row r="8" spans="1:27" x14ac:dyDescent="0.2">
      <c r="A8" s="160">
        <v>43405</v>
      </c>
      <c r="B8" s="159">
        <v>280</v>
      </c>
      <c r="C8" s="82">
        <v>14.34</v>
      </c>
      <c r="D8" s="1"/>
      <c r="F8" s="1" t="s">
        <v>462</v>
      </c>
      <c r="G8" s="159">
        <v>32</v>
      </c>
      <c r="H8" s="206" t="s">
        <v>420</v>
      </c>
      <c r="O8" s="1"/>
    </row>
    <row r="9" spans="1:27" x14ac:dyDescent="0.2">
      <c r="A9" s="160">
        <v>43435</v>
      </c>
      <c r="B9" s="159">
        <v>231</v>
      </c>
      <c r="C9" s="82">
        <v>14.95</v>
      </c>
      <c r="D9" s="1"/>
      <c r="F9" s="1" t="s">
        <v>463</v>
      </c>
      <c r="G9" s="159">
        <v>31</v>
      </c>
      <c r="H9" s="206" t="s">
        <v>464</v>
      </c>
      <c r="O9" s="1"/>
    </row>
    <row r="10" spans="1:27" x14ac:dyDescent="0.2">
      <c r="A10" s="160">
        <v>43466</v>
      </c>
      <c r="B10" s="159">
        <v>201</v>
      </c>
      <c r="C10" s="82">
        <v>14.95</v>
      </c>
      <c r="D10" s="1"/>
      <c r="F10" s="1" t="s">
        <v>465</v>
      </c>
      <c r="G10" s="159">
        <v>27</v>
      </c>
      <c r="H10" s="206" t="s">
        <v>466</v>
      </c>
      <c r="O10" s="1"/>
    </row>
    <row r="11" spans="1:27" x14ac:dyDescent="0.2">
      <c r="A11" s="160">
        <v>43497</v>
      </c>
      <c r="B11" s="159">
        <v>146</v>
      </c>
      <c r="C11" s="82">
        <v>14.34</v>
      </c>
      <c r="D11" s="1"/>
      <c r="F11" s="1" t="s">
        <v>467</v>
      </c>
      <c r="G11" s="159">
        <v>18</v>
      </c>
      <c r="H11" s="206" t="s">
        <v>427</v>
      </c>
      <c r="O11" s="1"/>
    </row>
    <row r="12" spans="1:27" x14ac:dyDescent="0.2">
      <c r="A12" s="160">
        <v>43525</v>
      </c>
      <c r="B12" s="159">
        <v>159</v>
      </c>
      <c r="C12" s="82">
        <v>15.38</v>
      </c>
      <c r="D12" s="1"/>
      <c r="F12" s="1" t="s">
        <v>468</v>
      </c>
      <c r="G12" s="159">
        <v>17</v>
      </c>
      <c r="H12" s="206" t="s">
        <v>375</v>
      </c>
      <c r="O12" s="1"/>
    </row>
    <row r="13" spans="1:27" x14ac:dyDescent="0.2">
      <c r="A13" s="160">
        <v>43556</v>
      </c>
      <c r="B13" s="159">
        <v>147</v>
      </c>
      <c r="C13" s="82">
        <v>14.95</v>
      </c>
      <c r="D13" s="1"/>
      <c r="F13" s="1" t="s">
        <v>469</v>
      </c>
      <c r="G13" s="159">
        <v>14</v>
      </c>
      <c r="H13" s="206" t="s">
        <v>470</v>
      </c>
      <c r="O13" s="1"/>
    </row>
    <row r="14" spans="1:27" x14ac:dyDescent="0.2">
      <c r="A14" s="160">
        <v>43586</v>
      </c>
      <c r="B14" s="159">
        <v>140</v>
      </c>
      <c r="C14" s="82">
        <v>15.38</v>
      </c>
      <c r="D14" s="1"/>
      <c r="F14" s="1" t="s">
        <v>471</v>
      </c>
      <c r="G14" s="159">
        <v>13</v>
      </c>
      <c r="H14" s="206" t="s">
        <v>472</v>
      </c>
      <c r="O14" s="1"/>
    </row>
    <row r="15" spans="1:27" x14ac:dyDescent="0.2">
      <c r="A15" s="160">
        <v>43617</v>
      </c>
      <c r="B15" s="159">
        <v>98</v>
      </c>
      <c r="C15" s="82">
        <v>13.97</v>
      </c>
      <c r="D15" s="1"/>
      <c r="O15" s="1"/>
    </row>
    <row r="16" spans="1:27" x14ac:dyDescent="0.2">
      <c r="A16" s="160">
        <v>43647</v>
      </c>
      <c r="B16" s="159">
        <v>103</v>
      </c>
      <c r="C16" s="82">
        <v>13.48</v>
      </c>
      <c r="D16" s="1"/>
      <c r="O16" s="1"/>
    </row>
    <row r="17" spans="1:15" x14ac:dyDescent="0.2">
      <c r="A17" s="160">
        <v>43678</v>
      </c>
      <c r="B17" s="159">
        <v>138</v>
      </c>
      <c r="C17" s="82">
        <v>13.48</v>
      </c>
      <c r="D17" s="1"/>
      <c r="O17" s="1"/>
    </row>
    <row r="18" spans="1:15" x14ac:dyDescent="0.2">
      <c r="A18" s="160">
        <v>43709</v>
      </c>
      <c r="B18" s="159">
        <v>190</v>
      </c>
      <c r="C18" s="82">
        <v>13.97</v>
      </c>
      <c r="D18" s="1"/>
      <c r="I18" s="39"/>
      <c r="O18" s="1"/>
    </row>
    <row r="19" spans="1:15" x14ac:dyDescent="0.2">
      <c r="A19" s="160">
        <v>43739</v>
      </c>
      <c r="B19" s="159">
        <v>189</v>
      </c>
      <c r="C19" s="82">
        <v>13.11</v>
      </c>
      <c r="D19" s="1"/>
      <c r="I19" s="39"/>
      <c r="O19" s="1"/>
    </row>
    <row r="20" spans="1:15" x14ac:dyDescent="0.2">
      <c r="A20" s="160">
        <v>43770</v>
      </c>
      <c r="B20" s="159">
        <v>152</v>
      </c>
      <c r="C20" s="82">
        <v>13.72</v>
      </c>
      <c r="D20" s="1"/>
      <c r="I20" s="39"/>
      <c r="O20" s="1"/>
    </row>
    <row r="21" spans="1:15" x14ac:dyDescent="0.2">
      <c r="A21" s="160">
        <v>43800</v>
      </c>
      <c r="B21" s="159">
        <v>128</v>
      </c>
      <c r="C21" s="82">
        <v>14.28</v>
      </c>
      <c r="D21" s="1"/>
      <c r="I21" s="39"/>
      <c r="O21" s="1"/>
    </row>
    <row r="22" spans="1:15" x14ac:dyDescent="0.2">
      <c r="A22" s="160">
        <v>43831</v>
      </c>
      <c r="B22" s="159">
        <v>138</v>
      </c>
      <c r="C22" s="82">
        <v>14.34</v>
      </c>
      <c r="D22" s="1"/>
      <c r="I22" s="39"/>
      <c r="O22" s="1"/>
    </row>
    <row r="23" spans="1:15" x14ac:dyDescent="0.2">
      <c r="A23" s="160">
        <v>43862</v>
      </c>
      <c r="B23" s="159">
        <v>130</v>
      </c>
      <c r="C23" s="82">
        <v>14.34</v>
      </c>
      <c r="D23" s="1"/>
      <c r="O23" s="1"/>
    </row>
    <row r="24" spans="1:15" x14ac:dyDescent="0.2">
      <c r="A24" s="160">
        <v>43891</v>
      </c>
      <c r="B24" s="159">
        <v>98</v>
      </c>
      <c r="C24" s="82">
        <v>15.45</v>
      </c>
      <c r="D24" s="1"/>
      <c r="O24" s="1"/>
    </row>
    <row r="25" spans="1:15" x14ac:dyDescent="0.2">
      <c r="A25" s="160">
        <v>43922</v>
      </c>
      <c r="B25" s="159">
        <v>73</v>
      </c>
      <c r="C25" s="82">
        <v>16.55</v>
      </c>
      <c r="D25" s="1"/>
      <c r="O25" s="1"/>
    </row>
    <row r="26" spans="1:15" x14ac:dyDescent="0.2">
      <c r="A26" s="160">
        <v>43952</v>
      </c>
      <c r="B26" s="159">
        <v>48</v>
      </c>
      <c r="C26" s="82">
        <v>16.55</v>
      </c>
      <c r="D26" s="1"/>
      <c r="O26" s="1"/>
    </row>
    <row r="27" spans="1:15" x14ac:dyDescent="0.2">
      <c r="A27" s="160">
        <v>43983</v>
      </c>
      <c r="B27" s="159">
        <v>53</v>
      </c>
      <c r="C27" s="82">
        <v>13.85</v>
      </c>
      <c r="D27" s="1"/>
      <c r="O27" s="1"/>
    </row>
    <row r="28" spans="1:15" x14ac:dyDescent="0.2">
      <c r="A28" s="160">
        <v>44013</v>
      </c>
      <c r="B28" s="159">
        <v>135</v>
      </c>
      <c r="C28" s="82">
        <v>12.49</v>
      </c>
      <c r="D28" s="1"/>
      <c r="O28" s="1"/>
    </row>
    <row r="29" spans="1:15" x14ac:dyDescent="0.2">
      <c r="A29" s="160">
        <v>44044</v>
      </c>
      <c r="B29" s="159">
        <v>218</v>
      </c>
      <c r="C29" s="82">
        <v>14.03</v>
      </c>
      <c r="D29" s="1"/>
      <c r="O29" s="1"/>
    </row>
    <row r="30" spans="1:15" x14ac:dyDescent="0.2">
      <c r="A30" s="160">
        <v>44075</v>
      </c>
      <c r="B30" s="159">
        <v>276</v>
      </c>
      <c r="C30" s="82">
        <v>13.85</v>
      </c>
      <c r="D30" s="1"/>
      <c r="O30" s="1"/>
    </row>
    <row r="31" spans="1:15" x14ac:dyDescent="0.2">
      <c r="A31" s="160">
        <v>44105</v>
      </c>
      <c r="B31" s="159">
        <v>243</v>
      </c>
      <c r="C31" s="82">
        <v>14.28</v>
      </c>
      <c r="D31" s="1"/>
      <c r="O31" s="1"/>
    </row>
    <row r="32" spans="1:15" x14ac:dyDescent="0.2">
      <c r="A32" s="160">
        <v>44136</v>
      </c>
      <c r="B32" s="159">
        <v>181</v>
      </c>
      <c r="C32" s="82">
        <v>14.34</v>
      </c>
      <c r="D32" s="1"/>
      <c r="O32" s="1"/>
    </row>
    <row r="33" spans="1:15" x14ac:dyDescent="0.2">
      <c r="A33" s="160">
        <v>44166</v>
      </c>
      <c r="B33" s="159">
        <v>139</v>
      </c>
      <c r="C33" s="82">
        <v>14.34</v>
      </c>
      <c r="D33" s="1"/>
      <c r="O33" s="1"/>
    </row>
    <row r="34" spans="1:15" x14ac:dyDescent="0.2">
      <c r="A34" s="160">
        <v>44197</v>
      </c>
      <c r="B34" s="159">
        <v>157</v>
      </c>
      <c r="C34" s="82">
        <v>14.46</v>
      </c>
      <c r="D34" s="1"/>
      <c r="O34" s="1"/>
    </row>
    <row r="35" spans="1:15" x14ac:dyDescent="0.2">
      <c r="A35" s="160">
        <v>44228</v>
      </c>
      <c r="B35" s="159">
        <v>158</v>
      </c>
      <c r="C35" s="82">
        <v>14.95</v>
      </c>
      <c r="D35" s="1"/>
      <c r="O35" s="1"/>
    </row>
    <row r="36" spans="1:15" x14ac:dyDescent="0.2">
      <c r="A36" s="160">
        <v>44256</v>
      </c>
      <c r="B36" s="159">
        <v>171</v>
      </c>
      <c r="C36" s="82">
        <v>14.95</v>
      </c>
      <c r="D36" s="1"/>
      <c r="O36" s="1"/>
    </row>
    <row r="37" spans="1:15" x14ac:dyDescent="0.2">
      <c r="A37" s="160">
        <v>44287</v>
      </c>
      <c r="B37" s="159">
        <v>113</v>
      </c>
      <c r="C37" s="82">
        <v>14.95</v>
      </c>
      <c r="D37" s="1"/>
      <c r="O37" s="1"/>
    </row>
    <row r="38" spans="1:15" x14ac:dyDescent="0.2">
      <c r="A38" s="160">
        <v>44317</v>
      </c>
      <c r="B38" s="159">
        <v>94</v>
      </c>
      <c r="C38" s="82">
        <v>14.95</v>
      </c>
      <c r="D38" s="1"/>
      <c r="O38" s="1"/>
    </row>
    <row r="39" spans="1:15" x14ac:dyDescent="0.2">
      <c r="A39" s="160">
        <v>44348</v>
      </c>
      <c r="B39" s="159">
        <v>60</v>
      </c>
      <c r="C39" s="82">
        <v>14.95</v>
      </c>
      <c r="D39" s="1"/>
      <c r="O39" s="1"/>
    </row>
    <row r="40" spans="1:15" x14ac:dyDescent="0.2">
      <c r="A40" s="160">
        <v>44378</v>
      </c>
      <c r="B40" s="159">
        <v>67</v>
      </c>
      <c r="C40" s="82">
        <v>14.09</v>
      </c>
      <c r="D40" s="1"/>
      <c r="O40" s="1"/>
    </row>
    <row r="41" spans="1:15" x14ac:dyDescent="0.2">
      <c r="A41" s="160">
        <v>44409</v>
      </c>
      <c r="B41" s="159">
        <v>163</v>
      </c>
      <c r="C41" s="82">
        <v>14.95</v>
      </c>
      <c r="D41" s="1"/>
      <c r="O41" s="1"/>
    </row>
    <row r="42" spans="1:15" x14ac:dyDescent="0.2">
      <c r="A42" s="160">
        <v>44440</v>
      </c>
      <c r="B42" s="159">
        <v>209</v>
      </c>
      <c r="C42" s="82">
        <v>15.57</v>
      </c>
      <c r="D42" s="1"/>
      <c r="O42" s="1"/>
    </row>
    <row r="43" spans="1:15" x14ac:dyDescent="0.2">
      <c r="A43" s="160">
        <v>44470</v>
      </c>
      <c r="B43" s="159">
        <v>235</v>
      </c>
      <c r="C43" s="82">
        <v>16.059999999999999</v>
      </c>
      <c r="D43" s="1"/>
      <c r="O43" s="1"/>
    </row>
    <row r="44" spans="1:15" x14ac:dyDescent="0.2">
      <c r="A44" s="160">
        <v>44501</v>
      </c>
      <c r="B44" s="159">
        <v>173</v>
      </c>
      <c r="C44" s="82">
        <v>17.420000000000002</v>
      </c>
      <c r="D44" s="1"/>
      <c r="O44" s="1"/>
    </row>
    <row r="45" spans="1:15" x14ac:dyDescent="0.2">
      <c r="A45" s="160">
        <v>44531</v>
      </c>
      <c r="B45" s="159">
        <v>200</v>
      </c>
      <c r="C45" s="82">
        <v>17.54</v>
      </c>
      <c r="D45" s="1"/>
      <c r="O45" s="1"/>
    </row>
    <row r="46" spans="1:15" x14ac:dyDescent="0.2">
      <c r="A46" s="160">
        <v>44562</v>
      </c>
      <c r="B46" s="159">
        <v>174</v>
      </c>
      <c r="C46" s="82">
        <v>17.54</v>
      </c>
      <c r="D46" s="1"/>
      <c r="O46" s="1"/>
    </row>
    <row r="47" spans="1:15" x14ac:dyDescent="0.2">
      <c r="A47" s="160">
        <v>44593</v>
      </c>
      <c r="B47" s="159">
        <v>165</v>
      </c>
      <c r="C47" s="82">
        <v>18.77</v>
      </c>
      <c r="D47" s="1"/>
      <c r="O47" s="1"/>
    </row>
    <row r="48" spans="1:15" x14ac:dyDescent="0.2">
      <c r="A48" s="160">
        <v>44621</v>
      </c>
      <c r="B48" s="159">
        <v>167</v>
      </c>
      <c r="C48" s="82">
        <v>17.66</v>
      </c>
      <c r="D48" s="1"/>
      <c r="O48" s="1"/>
    </row>
    <row r="49" spans="1:15" x14ac:dyDescent="0.2">
      <c r="A49" s="160">
        <v>44652</v>
      </c>
      <c r="B49" s="159">
        <v>152</v>
      </c>
      <c r="C49" s="82">
        <v>18.149999999999999</v>
      </c>
      <c r="D49" s="1"/>
      <c r="O49" s="1"/>
    </row>
    <row r="50" spans="1:15" x14ac:dyDescent="0.2">
      <c r="A50" s="160">
        <v>44682</v>
      </c>
      <c r="B50" s="159">
        <v>157</v>
      </c>
      <c r="C50" s="82">
        <v>17.54</v>
      </c>
      <c r="D50" s="1"/>
      <c r="O50" s="1"/>
    </row>
    <row r="51" spans="1:15" x14ac:dyDescent="0.2">
      <c r="A51" s="160">
        <v>44713</v>
      </c>
      <c r="B51" s="159">
        <v>150</v>
      </c>
      <c r="C51" s="82">
        <v>18.149999999999999</v>
      </c>
      <c r="D51" s="1"/>
      <c r="O51" s="1"/>
    </row>
    <row r="52" spans="1:15" x14ac:dyDescent="0.2">
      <c r="A52" s="160">
        <v>44743</v>
      </c>
      <c r="B52" s="159">
        <v>155</v>
      </c>
      <c r="C52" s="82">
        <v>18.149999999999999</v>
      </c>
      <c r="D52" s="1"/>
      <c r="O52" s="1"/>
    </row>
    <row r="53" spans="1:15" x14ac:dyDescent="0.2">
      <c r="A53" s="160">
        <v>44774</v>
      </c>
      <c r="B53" s="159">
        <v>162</v>
      </c>
      <c r="C53" s="82">
        <v>18.77</v>
      </c>
      <c r="D53" s="1"/>
      <c r="O53" s="1"/>
    </row>
    <row r="54" spans="1:15" x14ac:dyDescent="0.2">
      <c r="A54" s="160">
        <v>44805</v>
      </c>
      <c r="B54" s="159">
        <v>178</v>
      </c>
      <c r="C54" s="82">
        <v>18.77</v>
      </c>
      <c r="D54" s="1"/>
      <c r="O54" s="1"/>
    </row>
    <row r="55" spans="1:15" x14ac:dyDescent="0.2">
      <c r="A55" s="160">
        <v>44835</v>
      </c>
      <c r="B55" s="159">
        <v>180</v>
      </c>
      <c r="C55" s="82">
        <v>18.03</v>
      </c>
      <c r="D55" s="1"/>
      <c r="O55" s="1"/>
    </row>
    <row r="56" spans="1:15" x14ac:dyDescent="0.2">
      <c r="A56" s="160">
        <v>44866</v>
      </c>
      <c r="B56" s="159">
        <v>204</v>
      </c>
      <c r="C56" s="82">
        <v>18.03</v>
      </c>
      <c r="D56" s="161"/>
      <c r="O56" s="1"/>
    </row>
    <row r="57" spans="1:15" x14ac:dyDescent="0.2">
      <c r="A57" s="160">
        <v>44896</v>
      </c>
      <c r="B57" s="159">
        <v>159</v>
      </c>
      <c r="C57" s="82">
        <v>18.03</v>
      </c>
      <c r="D57" s="1"/>
      <c r="O57" s="1"/>
    </row>
    <row r="58" spans="1:15" x14ac:dyDescent="0.2">
      <c r="A58" s="160">
        <v>44927</v>
      </c>
      <c r="B58" s="159">
        <v>131</v>
      </c>
      <c r="C58" s="82">
        <v>18.03</v>
      </c>
      <c r="D58" s="1"/>
      <c r="O58" s="1"/>
    </row>
    <row r="59" spans="1:15" x14ac:dyDescent="0.2">
      <c r="A59" s="160">
        <v>44958</v>
      </c>
      <c r="B59" s="159">
        <v>74</v>
      </c>
      <c r="C59" s="82">
        <v>18.03</v>
      </c>
      <c r="D59" s="1"/>
      <c r="O59" s="1"/>
    </row>
    <row r="60" spans="1:15" x14ac:dyDescent="0.2">
      <c r="A60" s="160">
        <v>44986</v>
      </c>
      <c r="B60" s="159">
        <v>108</v>
      </c>
      <c r="C60" s="82">
        <v>18.03</v>
      </c>
      <c r="D60" s="1"/>
      <c r="O60" s="1"/>
    </row>
    <row r="61" spans="1:15" x14ac:dyDescent="0.2">
      <c r="A61" s="160">
        <v>45017</v>
      </c>
      <c r="B61" s="159">
        <v>127</v>
      </c>
      <c r="C61" s="82">
        <v>18.77</v>
      </c>
      <c r="D61" s="1"/>
      <c r="O61" s="1"/>
    </row>
    <row r="62" spans="1:15" x14ac:dyDescent="0.2">
      <c r="A62" s="160">
        <v>45047</v>
      </c>
      <c r="B62" s="159">
        <v>96</v>
      </c>
      <c r="C62" s="82">
        <v>17.54</v>
      </c>
      <c r="D62" s="1"/>
      <c r="O62" s="1"/>
    </row>
    <row r="63" spans="1:15" x14ac:dyDescent="0.2">
      <c r="A63" s="160">
        <v>45078</v>
      </c>
      <c r="B63" s="159">
        <v>90</v>
      </c>
      <c r="C63" s="82">
        <v>16.059999999999999</v>
      </c>
      <c r="D63" s="1"/>
      <c r="O63" s="1"/>
    </row>
    <row r="64" spans="1:15" x14ac:dyDescent="0.2">
      <c r="A64" s="160">
        <v>45108</v>
      </c>
      <c r="B64" s="159">
        <v>88</v>
      </c>
      <c r="C64" s="82">
        <v>16.55</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1C78-79DF-4BDB-AA3B-792AF63A1E6F}">
  <sheetPr>
    <tabColor rgb="FF605677"/>
  </sheetPr>
  <dimension ref="A1:AG50"/>
  <sheetViews>
    <sheetView zoomScaleNormal="100" workbookViewId="0">
      <selection activeCell="C8" sqref="C8"/>
    </sheetView>
  </sheetViews>
  <sheetFormatPr defaultColWidth="9.140625" defaultRowHeight="14.25" x14ac:dyDescent="0.2"/>
  <cols>
    <col min="1" max="1" width="15.7109375" style="1" bestFit="1" customWidth="1"/>
    <col min="2" max="2" width="13.140625" style="1" bestFit="1" customWidth="1"/>
    <col min="3" max="3" width="18.140625" style="1" bestFit="1" customWidth="1"/>
    <col min="4" max="4" width="16" style="1" bestFit="1" customWidth="1"/>
    <col min="5" max="5" width="9.140625" style="39" bestFit="1" customWidth="1"/>
    <col min="6" max="6" width="10.7109375" style="1" customWidth="1"/>
    <col min="7" max="9" width="9.28515625" style="1" bestFit="1" customWidth="1"/>
    <col min="10" max="10" width="9.140625" style="1" bestFit="1" customWidth="1"/>
    <col min="11" max="11" width="8.42578125" style="1" bestFit="1" customWidth="1"/>
    <col min="12" max="12" width="6.5703125" style="1" bestFit="1" customWidth="1"/>
    <col min="13" max="13" width="9.140625" style="40" bestFit="1" customWidth="1"/>
    <col min="14" max="15" width="6.5703125" style="1" bestFit="1" customWidth="1"/>
    <col min="16" max="16" width="9.140625" style="1" bestFit="1" customWidth="1"/>
    <col min="17" max="17" width="6.5703125" style="1" bestFit="1" customWidth="1"/>
    <col min="18" max="20" width="9.140625" style="1"/>
    <col min="21" max="21" width="6.85546875" style="1" bestFit="1" customWidth="1"/>
    <col min="22" max="23" width="6.85546875" style="1" customWidth="1"/>
    <col min="24" max="24" width="7.42578125" style="1" bestFit="1" customWidth="1"/>
    <col min="25" max="28" width="9.140625" style="1"/>
    <col min="29" max="29" width="10.140625" style="1" bestFit="1" customWidth="1"/>
    <col min="30" max="31" width="9.140625" style="1"/>
    <col min="32" max="32" width="33.5703125" style="1" customWidth="1"/>
    <col min="33" max="33" width="2.85546875" style="84" customWidth="1"/>
    <col min="34" max="16384" width="9.140625" style="1"/>
  </cols>
  <sheetData>
    <row r="1" spans="1:25" ht="23.25" x14ac:dyDescent="0.35">
      <c r="A1" s="262" t="s">
        <v>473</v>
      </c>
      <c r="B1" s="262"/>
      <c r="C1" s="262"/>
      <c r="D1" s="262"/>
      <c r="E1" s="262"/>
      <c r="F1" s="262"/>
      <c r="G1" s="262"/>
      <c r="H1" s="262"/>
      <c r="I1" s="262"/>
      <c r="J1" s="262"/>
      <c r="K1" s="262"/>
      <c r="L1" s="262"/>
      <c r="M1" s="262"/>
      <c r="N1" s="262"/>
      <c r="O1" s="262"/>
      <c r="P1" s="262"/>
      <c r="Q1" s="262"/>
      <c r="R1" s="262"/>
      <c r="S1" s="262"/>
      <c r="T1" s="262"/>
      <c r="U1" s="262"/>
      <c r="V1" s="262"/>
      <c r="W1" s="262"/>
      <c r="X1" s="262"/>
      <c r="Y1" s="262"/>
    </row>
    <row r="3" spans="1:25" ht="15" x14ac:dyDescent="0.25">
      <c r="A3" s="320" t="s">
        <v>474</v>
      </c>
      <c r="B3" s="320"/>
      <c r="C3" s="320"/>
      <c r="D3" s="320"/>
      <c r="E3" s="194"/>
    </row>
    <row r="4" spans="1:25" x14ac:dyDescent="0.2">
      <c r="A4" s="192" t="s">
        <v>262</v>
      </c>
      <c r="B4" s="192" t="s">
        <v>159</v>
      </c>
      <c r="C4" s="193" t="s">
        <v>263</v>
      </c>
      <c r="D4" s="193" t="s">
        <v>264</v>
      </c>
      <c r="E4" s="1"/>
      <c r="M4" s="1"/>
    </row>
    <row r="5" spans="1:25" x14ac:dyDescent="0.2">
      <c r="A5" s="196" t="s">
        <v>265</v>
      </c>
      <c r="B5" s="159">
        <v>753.97373208399995</v>
      </c>
      <c r="C5" s="195">
        <v>941.72420873700003</v>
      </c>
      <c r="D5" s="195">
        <v>187.750476652</v>
      </c>
      <c r="E5" s="1"/>
      <c r="M5" s="1"/>
    </row>
    <row r="6" spans="1:25" x14ac:dyDescent="0.2">
      <c r="A6" s="196" t="s">
        <v>266</v>
      </c>
      <c r="B6" s="159">
        <v>446.24094222000002</v>
      </c>
      <c r="C6" s="195">
        <v>549.49855955299995</v>
      </c>
      <c r="D6" s="195">
        <v>103.257617333</v>
      </c>
      <c r="E6" s="1"/>
      <c r="M6" s="1"/>
    </row>
    <row r="7" spans="1:25" x14ac:dyDescent="0.2">
      <c r="A7" s="196" t="s">
        <v>268</v>
      </c>
      <c r="B7" s="159">
        <v>787.02245265700003</v>
      </c>
      <c r="C7" s="195">
        <v>853.63729024199995</v>
      </c>
      <c r="D7" s="195">
        <v>66.614837585800004</v>
      </c>
      <c r="E7" s="1"/>
      <c r="M7" s="1"/>
    </row>
    <row r="8" spans="1:25" x14ac:dyDescent="0.2">
      <c r="A8" s="196" t="s">
        <v>330</v>
      </c>
      <c r="B8" s="159">
        <v>103.672158111</v>
      </c>
      <c r="C8" s="195">
        <v>116.611756965</v>
      </c>
      <c r="D8" s="195">
        <v>12.9395988539</v>
      </c>
      <c r="E8" s="1"/>
      <c r="M8" s="1"/>
    </row>
    <row r="9" spans="1:25" x14ac:dyDescent="0.2">
      <c r="A9" s="196" t="s">
        <v>270</v>
      </c>
      <c r="B9" s="159">
        <v>17.688690579100001</v>
      </c>
      <c r="C9" s="195">
        <v>21.3202567851</v>
      </c>
      <c r="D9" s="195">
        <v>3.63156620609</v>
      </c>
      <c r="E9" s="1"/>
      <c r="M9" s="1"/>
    </row>
    <row r="10" spans="1:25" x14ac:dyDescent="0.2">
      <c r="A10" s="196" t="s">
        <v>278</v>
      </c>
      <c r="B10" s="159">
        <v>21.5364197056</v>
      </c>
      <c r="C10" s="195">
        <v>24.945628602999999</v>
      </c>
      <c r="D10" s="195">
        <v>3.4092088973400001</v>
      </c>
      <c r="E10" s="1"/>
      <c r="M10" s="1"/>
    </row>
    <row r="11" spans="1:25" x14ac:dyDescent="0.2">
      <c r="A11" s="196" t="s">
        <v>287</v>
      </c>
      <c r="B11" s="159">
        <v>17.433373130100001</v>
      </c>
      <c r="C11" s="195">
        <v>20.030894328599999</v>
      </c>
      <c r="D11" s="195">
        <v>2.59752119858</v>
      </c>
      <c r="E11" s="1"/>
      <c r="M11" s="1"/>
    </row>
    <row r="12" spans="1:25" x14ac:dyDescent="0.2">
      <c r="A12" s="196" t="s">
        <v>299</v>
      </c>
      <c r="B12" s="159">
        <v>21.4220868174</v>
      </c>
      <c r="C12" s="195">
        <v>22.585807370400001</v>
      </c>
      <c r="D12" s="195">
        <v>1.1637205529100001</v>
      </c>
      <c r="E12" s="1"/>
      <c r="M12" s="1"/>
    </row>
    <row r="13" spans="1:25" x14ac:dyDescent="0.2">
      <c r="A13" s="196" t="s">
        <v>296</v>
      </c>
      <c r="B13" s="159">
        <v>11.990310169700001</v>
      </c>
      <c r="C13" s="195">
        <v>13.1264987083</v>
      </c>
      <c r="D13" s="195">
        <v>1.1361885386199999</v>
      </c>
      <c r="E13" s="1"/>
      <c r="M13" s="1"/>
    </row>
    <row r="14" spans="1:25" x14ac:dyDescent="0.2">
      <c r="A14" s="196" t="s">
        <v>294</v>
      </c>
      <c r="B14" s="159">
        <v>13.998225965</v>
      </c>
      <c r="C14" s="195">
        <v>14.197819361200001</v>
      </c>
      <c r="D14" s="195">
        <v>0.199593396216</v>
      </c>
      <c r="E14" s="1"/>
      <c r="M14" s="1"/>
    </row>
    <row r="15" spans="1:25" x14ac:dyDescent="0.2">
      <c r="A15" s="196" t="s">
        <v>284</v>
      </c>
      <c r="B15" s="159">
        <v>41.985525295199999</v>
      </c>
      <c r="C15" s="195">
        <v>42.145552008800003</v>
      </c>
      <c r="D15" s="195">
        <v>0.16002671365500001</v>
      </c>
      <c r="E15" s="1"/>
      <c r="M15" s="1"/>
    </row>
    <row r="16" spans="1:25" x14ac:dyDescent="0.2">
      <c r="A16" s="196" t="s">
        <v>282</v>
      </c>
      <c r="B16" s="159">
        <v>17.451669285000001</v>
      </c>
      <c r="C16" s="195">
        <v>17.373964307400001</v>
      </c>
      <c r="D16" s="195">
        <v>-7.7704977595500005E-2</v>
      </c>
      <c r="E16" s="1"/>
      <c r="M16" s="1"/>
    </row>
    <row r="17" spans="1:13" x14ac:dyDescent="0.2">
      <c r="A17" s="196" t="s">
        <v>301</v>
      </c>
      <c r="B17" s="159">
        <v>18.9389692186</v>
      </c>
      <c r="C17" s="195">
        <v>18.626076751999999</v>
      </c>
      <c r="D17" s="195">
        <v>-0.312892466604</v>
      </c>
      <c r="E17" s="1"/>
      <c r="M17" s="1"/>
    </row>
    <row r="18" spans="1:13" x14ac:dyDescent="0.2">
      <c r="A18" s="196" t="s">
        <v>295</v>
      </c>
      <c r="B18" s="159">
        <v>27.6635678275</v>
      </c>
      <c r="C18" s="195">
        <v>26.8173572384</v>
      </c>
      <c r="D18" s="195">
        <v>-0.84621058911900005</v>
      </c>
      <c r="E18" s="1"/>
      <c r="G18" s="39"/>
      <c r="M18" s="1"/>
    </row>
    <row r="19" spans="1:13" x14ac:dyDescent="0.2">
      <c r="A19" s="196" t="s">
        <v>305</v>
      </c>
      <c r="B19" s="159">
        <v>14.166786242900001</v>
      </c>
      <c r="C19" s="195">
        <v>12.7199379718</v>
      </c>
      <c r="D19" s="195">
        <v>-1.4468482710399999</v>
      </c>
      <c r="E19" s="1"/>
      <c r="G19" s="39"/>
      <c r="M19" s="1"/>
    </row>
    <row r="20" spans="1:13" x14ac:dyDescent="0.2">
      <c r="A20" s="196" t="s">
        <v>309</v>
      </c>
      <c r="B20" s="159">
        <v>40.432174804500001</v>
      </c>
      <c r="C20" s="195">
        <v>38.198414447600001</v>
      </c>
      <c r="D20" s="195">
        <v>-2.23376035681</v>
      </c>
      <c r="E20" s="1"/>
      <c r="G20" s="39"/>
      <c r="M20" s="1"/>
    </row>
    <row r="21" spans="1:13" x14ac:dyDescent="0.2">
      <c r="A21" s="196" t="s">
        <v>303</v>
      </c>
      <c r="B21" s="159">
        <v>28.627975241200001</v>
      </c>
      <c r="C21" s="195">
        <v>26.320480396200001</v>
      </c>
      <c r="D21" s="195">
        <v>-2.3074948449899999</v>
      </c>
      <c r="E21" s="1"/>
      <c r="G21" s="39"/>
      <c r="M21" s="1"/>
    </row>
    <row r="22" spans="1:13" x14ac:dyDescent="0.2">
      <c r="A22" s="196" t="s">
        <v>298</v>
      </c>
      <c r="B22" s="159">
        <v>35.854828853999997</v>
      </c>
      <c r="C22" s="195">
        <v>33.434869362999997</v>
      </c>
      <c r="D22" s="195">
        <v>-2.4199594909500002</v>
      </c>
      <c r="E22" s="1"/>
      <c r="M22" s="1"/>
    </row>
    <row r="23" spans="1:13" x14ac:dyDescent="0.2">
      <c r="A23" s="196" t="s">
        <v>318</v>
      </c>
      <c r="B23" s="159">
        <v>25.410439137400001</v>
      </c>
      <c r="C23" s="195">
        <v>22.6374540656</v>
      </c>
      <c r="D23" s="195">
        <v>-2.77298507184</v>
      </c>
      <c r="E23" s="1"/>
      <c r="M23" s="1"/>
    </row>
    <row r="24" spans="1:13" x14ac:dyDescent="0.2">
      <c r="A24" s="196" t="s">
        <v>326</v>
      </c>
      <c r="B24" s="159">
        <v>33.534544261999997</v>
      </c>
      <c r="C24" s="195">
        <v>30.666710824999999</v>
      </c>
      <c r="D24" s="195">
        <v>-2.8678334369999998</v>
      </c>
      <c r="E24" s="1"/>
      <c r="M24" s="1"/>
    </row>
    <row r="25" spans="1:13" x14ac:dyDescent="0.2">
      <c r="A25" s="196" t="s">
        <v>307</v>
      </c>
      <c r="B25" s="159">
        <v>31.7926001276</v>
      </c>
      <c r="C25" s="195">
        <v>28.769149565199999</v>
      </c>
      <c r="D25" s="195">
        <v>-3.0234505623299999</v>
      </c>
      <c r="E25" s="1"/>
      <c r="M25" s="1"/>
    </row>
    <row r="26" spans="1:13" x14ac:dyDescent="0.2">
      <c r="A26" s="196" t="s">
        <v>329</v>
      </c>
      <c r="B26" s="159">
        <v>63.326647218799998</v>
      </c>
      <c r="C26" s="195">
        <v>60.171878911900002</v>
      </c>
      <c r="D26" s="195">
        <v>-3.1547683068999999</v>
      </c>
      <c r="E26" s="1"/>
      <c r="M26" s="1"/>
    </row>
    <row r="27" spans="1:13" x14ac:dyDescent="0.2">
      <c r="A27" s="196" t="s">
        <v>306</v>
      </c>
      <c r="B27" s="159">
        <v>55.436908390299998</v>
      </c>
      <c r="C27" s="195">
        <v>51.474896774400001</v>
      </c>
      <c r="D27" s="195">
        <v>-3.9620116158999998</v>
      </c>
      <c r="E27" s="1"/>
      <c r="M27" s="1"/>
    </row>
    <row r="28" spans="1:13" x14ac:dyDescent="0.2">
      <c r="A28" s="196" t="s">
        <v>317</v>
      </c>
      <c r="B28" s="159">
        <v>18.155961190700001</v>
      </c>
      <c r="C28" s="195">
        <v>13.8959082694</v>
      </c>
      <c r="D28" s="195">
        <v>-4.2600529212799998</v>
      </c>
      <c r="E28" s="1"/>
      <c r="M28" s="1"/>
    </row>
    <row r="29" spans="1:13" x14ac:dyDescent="0.2">
      <c r="A29" s="196" t="s">
        <v>292</v>
      </c>
      <c r="B29" s="159">
        <v>29.239410348900002</v>
      </c>
      <c r="C29" s="195">
        <v>24.423297369299998</v>
      </c>
      <c r="D29" s="195">
        <v>-4.8161129795099997</v>
      </c>
      <c r="E29" s="1"/>
      <c r="M29" s="1"/>
    </row>
    <row r="30" spans="1:13" x14ac:dyDescent="0.2">
      <c r="A30" s="196" t="s">
        <v>321</v>
      </c>
      <c r="B30" s="159">
        <v>41.927309764999997</v>
      </c>
      <c r="C30" s="195">
        <v>36.217934692999997</v>
      </c>
      <c r="D30" s="195">
        <v>-5.7093750720000003</v>
      </c>
      <c r="E30" s="1"/>
      <c r="M30" s="1"/>
    </row>
    <row r="31" spans="1:13" x14ac:dyDescent="0.2">
      <c r="A31" s="196" t="s">
        <v>327</v>
      </c>
      <c r="B31" s="159">
        <v>29.6761842899</v>
      </c>
      <c r="C31" s="195">
        <v>23.746593217099999</v>
      </c>
      <c r="D31" s="195">
        <v>-5.9295910727200001</v>
      </c>
      <c r="E31" s="1"/>
      <c r="M31" s="1"/>
    </row>
    <row r="32" spans="1:13" x14ac:dyDescent="0.2">
      <c r="A32" s="196" t="s">
        <v>328</v>
      </c>
      <c r="B32" s="159">
        <v>37.640314510099998</v>
      </c>
      <c r="C32" s="195">
        <v>31.328209122000001</v>
      </c>
      <c r="D32" s="195">
        <v>-6.31210538812</v>
      </c>
      <c r="E32" s="1"/>
      <c r="M32" s="1"/>
    </row>
    <row r="33" spans="1:13" x14ac:dyDescent="0.2">
      <c r="A33" s="196" t="s">
        <v>334</v>
      </c>
      <c r="B33" s="159">
        <v>26.698602144999999</v>
      </c>
      <c r="C33" s="195">
        <v>19.6652910878</v>
      </c>
      <c r="D33" s="195">
        <v>-7.0333110572599997</v>
      </c>
      <c r="E33" s="1"/>
      <c r="M33" s="1"/>
    </row>
    <row r="34" spans="1:13" x14ac:dyDescent="0.2">
      <c r="A34" s="196" t="s">
        <v>331</v>
      </c>
      <c r="B34" s="159">
        <v>31.6965331414</v>
      </c>
      <c r="C34" s="195">
        <v>24.0062120493</v>
      </c>
      <c r="D34" s="195">
        <v>-7.6903210920799996</v>
      </c>
      <c r="E34" s="1"/>
      <c r="M34" s="1"/>
    </row>
    <row r="35" spans="1:13" x14ac:dyDescent="0.2">
      <c r="A35" s="196" t="s">
        <v>267</v>
      </c>
      <c r="B35" s="159">
        <v>130.44771891900001</v>
      </c>
      <c r="C35" s="195">
        <v>122.304998224</v>
      </c>
      <c r="D35" s="195">
        <v>-8.1427206951700004</v>
      </c>
      <c r="E35" s="1"/>
      <c r="M35" s="1"/>
    </row>
    <row r="36" spans="1:13" x14ac:dyDescent="0.2">
      <c r="A36" s="196" t="s">
        <v>269</v>
      </c>
      <c r="B36" s="159">
        <v>100.923758105</v>
      </c>
      <c r="C36" s="195">
        <v>92.562209657699995</v>
      </c>
      <c r="D36" s="195">
        <v>-8.3615484473299997</v>
      </c>
      <c r="E36" s="1"/>
      <c r="M36" s="1"/>
    </row>
    <row r="37" spans="1:13" x14ac:dyDescent="0.2">
      <c r="A37" s="196" t="s">
        <v>316</v>
      </c>
      <c r="B37" s="159">
        <v>63.315453369799997</v>
      </c>
      <c r="C37" s="195">
        <v>54.446511082800001</v>
      </c>
      <c r="D37" s="195">
        <v>-8.8689422870300003</v>
      </c>
      <c r="E37" s="1"/>
      <c r="M37" s="1"/>
    </row>
    <row r="38" spans="1:13" x14ac:dyDescent="0.2">
      <c r="A38" s="196" t="s">
        <v>312</v>
      </c>
      <c r="B38" s="159">
        <v>102.070808371</v>
      </c>
      <c r="C38" s="195">
        <v>93.128905272699996</v>
      </c>
      <c r="D38" s="195">
        <v>-8.94190309785</v>
      </c>
      <c r="E38" s="1"/>
      <c r="M38" s="1"/>
    </row>
    <row r="39" spans="1:13" x14ac:dyDescent="0.2">
      <c r="A39" s="196" t="s">
        <v>338</v>
      </c>
      <c r="B39" s="159">
        <v>49.116006275700002</v>
      </c>
      <c r="C39" s="195">
        <v>39.142069802100004</v>
      </c>
      <c r="D39" s="195">
        <v>-9.9739364736000002</v>
      </c>
      <c r="E39" s="1"/>
      <c r="M39" s="1"/>
    </row>
    <row r="40" spans="1:13" x14ac:dyDescent="0.2">
      <c r="A40" s="196" t="s">
        <v>337</v>
      </c>
      <c r="B40" s="159">
        <v>30.682249437599999</v>
      </c>
      <c r="C40" s="195">
        <v>19.703594777599999</v>
      </c>
      <c r="D40" s="195">
        <v>-10.97865466</v>
      </c>
      <c r="E40" s="1"/>
      <c r="M40" s="1"/>
    </row>
    <row r="41" spans="1:13" x14ac:dyDescent="0.2">
      <c r="A41" s="196" t="s">
        <v>336</v>
      </c>
      <c r="B41" s="159">
        <v>52.052354360999999</v>
      </c>
      <c r="C41" s="195">
        <v>40.586697194300001</v>
      </c>
      <c r="D41" s="195">
        <v>-11.4656571667</v>
      </c>
      <c r="E41" s="1"/>
      <c r="M41" s="1"/>
    </row>
    <row r="42" spans="1:13" x14ac:dyDescent="0.2">
      <c r="A42" s="196" t="s">
        <v>332</v>
      </c>
      <c r="B42" s="159">
        <v>85.501975678799994</v>
      </c>
      <c r="C42" s="195">
        <v>73.967134306099993</v>
      </c>
      <c r="D42" s="195">
        <v>-11.534841372600001</v>
      </c>
      <c r="E42" s="1"/>
      <c r="M42" s="1"/>
    </row>
    <row r="43" spans="1:13" x14ac:dyDescent="0.2">
      <c r="A43" s="196" t="s">
        <v>335</v>
      </c>
      <c r="B43" s="159">
        <v>44.229834232499996</v>
      </c>
      <c r="C43" s="195">
        <v>32.261200379400002</v>
      </c>
      <c r="D43" s="195">
        <v>-11.9686338532</v>
      </c>
      <c r="E43" s="1"/>
      <c r="M43" s="1"/>
    </row>
    <row r="44" spans="1:13" x14ac:dyDescent="0.2">
      <c r="A44" s="196" t="s">
        <v>275</v>
      </c>
      <c r="B44" s="159">
        <v>26.819832246400001</v>
      </c>
      <c r="C44" s="195">
        <v>10.8741907839</v>
      </c>
      <c r="D44" s="195">
        <v>-15.945641462499999</v>
      </c>
      <c r="E44" s="1"/>
      <c r="M44" s="1"/>
    </row>
    <row r="45" spans="1:13" x14ac:dyDescent="0.2">
      <c r="A45" s="196" t="s">
        <v>333</v>
      </c>
      <c r="B45" s="159">
        <v>66.628815012800004</v>
      </c>
      <c r="C45" s="195">
        <v>47.567573280200001</v>
      </c>
      <c r="D45" s="195">
        <v>-19.061241732599999</v>
      </c>
      <c r="E45" s="1"/>
      <c r="M45" s="1"/>
    </row>
    <row r="46" spans="1:13" x14ac:dyDescent="0.2">
      <c r="A46" s="196" t="s">
        <v>339</v>
      </c>
      <c r="B46" s="159">
        <v>58.739378438499998</v>
      </c>
      <c r="C46" s="195">
        <v>34.962184392099999</v>
      </c>
      <c r="D46" s="195">
        <v>-23.777194046399998</v>
      </c>
      <c r="E46" s="1"/>
      <c r="M46" s="1"/>
    </row>
    <row r="47" spans="1:13" x14ac:dyDescent="0.2">
      <c r="A47" s="196" t="s">
        <v>340</v>
      </c>
      <c r="B47" s="159">
        <v>193.43970369799999</v>
      </c>
      <c r="C47" s="195">
        <v>145.77351599400001</v>
      </c>
      <c r="D47" s="195">
        <v>-47.6661877035</v>
      </c>
      <c r="E47" s="1"/>
      <c r="M47" s="1"/>
    </row>
    <row r="48" spans="1:13" x14ac:dyDescent="0.2">
      <c r="A48" s="196" t="s">
        <v>341</v>
      </c>
      <c r="B48" s="159">
        <v>119.10893399699999</v>
      </c>
      <c r="C48" s="195">
        <v>70.043769041199994</v>
      </c>
      <c r="D48" s="195">
        <v>-49.0651649554</v>
      </c>
      <c r="E48" s="1"/>
      <c r="M48" s="1"/>
    </row>
    <row r="49" spans="1:13" x14ac:dyDescent="0.2">
      <c r="A49" s="196" t="s">
        <v>342</v>
      </c>
      <c r="B49" s="159">
        <v>208.89117822700001</v>
      </c>
      <c r="C49" s="195">
        <v>140.54967088500001</v>
      </c>
      <c r="D49" s="195">
        <v>-68.341507341699995</v>
      </c>
      <c r="E49" s="1"/>
      <c r="M49" s="1"/>
    </row>
    <row r="50" spans="1:13" x14ac:dyDescent="0.2">
      <c r="A50" s="196" t="s">
        <v>343</v>
      </c>
      <c r="B50" s="159">
        <v>561.32713582400004</v>
      </c>
      <c r="C50" s="195">
        <v>471.460397855</v>
      </c>
      <c r="D50" s="195">
        <v>-89.866737968999999</v>
      </c>
      <c r="E50" s="1"/>
      <c r="M50" s="1"/>
    </row>
  </sheetData>
  <mergeCells count="2">
    <mergeCell ref="A1:Y1"/>
    <mergeCell ref="A3:D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64DE7-121B-4458-BDD6-9CDF5940B210}">
  <sheetPr>
    <tabColor rgb="FFA2AE74"/>
  </sheetPr>
  <dimension ref="A1:AB56"/>
  <sheetViews>
    <sheetView zoomScaleNormal="100" workbookViewId="0">
      <selection activeCell="C8" sqref="C8"/>
    </sheetView>
  </sheetViews>
  <sheetFormatPr defaultColWidth="9.140625" defaultRowHeight="14.25" x14ac:dyDescent="0.2"/>
  <cols>
    <col min="1" max="1" width="28.28515625" style="1" customWidth="1"/>
    <col min="2" max="2" width="8.42578125" style="1" customWidth="1"/>
    <col min="3" max="3" width="11.5703125" style="1" customWidth="1"/>
    <col min="4" max="4" width="9.28515625" style="39" bestFit="1" customWidth="1"/>
    <col min="5" max="5" width="11.85546875" style="1" customWidth="1"/>
    <col min="6" max="8" width="8.28515625" style="1" bestFit="1" customWidth="1"/>
    <col min="9" max="9" width="9.42578125" style="1" bestFit="1" customWidth="1"/>
    <col min="10" max="10" width="13.28515625" style="1" customWidth="1"/>
    <col min="11" max="11" width="9.28515625" style="1" customWidth="1"/>
    <col min="12" max="12" width="14" style="1" customWidth="1"/>
    <col min="13" max="13" width="9.28515625" style="1" bestFit="1" customWidth="1"/>
    <col min="14" max="14" width="10.7109375" style="1" customWidth="1"/>
    <col min="15" max="15" width="7.28515625" style="1" bestFit="1" customWidth="1"/>
    <col min="16" max="16" width="9.28515625" style="40" bestFit="1" customWidth="1"/>
    <col min="17" max="18" width="7.28515625" style="1" bestFit="1" customWidth="1"/>
    <col min="19" max="19" width="9.28515625" style="1" bestFit="1" customWidth="1"/>
    <col min="20" max="20" width="6.5703125" style="1" bestFit="1" customWidth="1"/>
    <col min="21" max="21" width="12.5703125" style="1" bestFit="1" customWidth="1"/>
    <col min="22" max="23" width="9.28515625" style="1" bestFit="1" customWidth="1"/>
    <col min="24" max="25" width="8.7109375" style="1" bestFit="1" customWidth="1"/>
    <col min="26" max="27" width="9.28515625" style="1" bestFit="1" customWidth="1"/>
    <col min="28" max="29" width="9.140625" style="1"/>
    <col min="30" max="30" width="10.140625" style="1" bestFit="1" customWidth="1"/>
    <col min="31" max="32" width="9.140625" style="1"/>
    <col min="33" max="33" width="33.5703125" style="1" customWidth="1"/>
    <col min="34" max="34" width="2.85546875" style="1" customWidth="1"/>
    <col min="35" max="16384" width="9.140625" style="1"/>
  </cols>
  <sheetData>
    <row r="1" spans="1:28" ht="23.25" x14ac:dyDescent="0.35">
      <c r="A1" s="262" t="s">
        <v>128</v>
      </c>
      <c r="B1" s="262"/>
      <c r="C1" s="262"/>
      <c r="D1" s="262"/>
      <c r="E1" s="262"/>
      <c r="F1" s="262"/>
      <c r="G1" s="262"/>
      <c r="H1" s="262"/>
      <c r="I1" s="262"/>
      <c r="J1" s="262"/>
      <c r="K1" s="262"/>
      <c r="L1" s="262"/>
      <c r="M1" s="262"/>
      <c r="N1" s="262"/>
      <c r="O1" s="262"/>
      <c r="P1" s="262"/>
      <c r="Q1" s="262"/>
      <c r="R1" s="262"/>
    </row>
    <row r="2" spans="1:28" ht="15" thickBot="1" x14ac:dyDescent="0.25">
      <c r="B2" s="38"/>
      <c r="C2" s="38"/>
      <c r="P2" s="1"/>
      <c r="Q2" s="40"/>
    </row>
    <row r="3" spans="1:28" ht="12.75" customHeight="1" thickBot="1" x14ac:dyDescent="0.25">
      <c r="A3" s="299" t="s">
        <v>29</v>
      </c>
      <c r="B3" s="260" t="s">
        <v>30</v>
      </c>
      <c r="C3" s="261"/>
      <c r="D3" s="297" t="s">
        <v>31</v>
      </c>
      <c r="E3" s="298"/>
      <c r="F3" s="216" t="s">
        <v>33</v>
      </c>
      <c r="G3" s="215" t="s">
        <v>33</v>
      </c>
      <c r="H3" s="215" t="s">
        <v>33</v>
      </c>
      <c r="I3" s="303" t="s">
        <v>33</v>
      </c>
      <c r="J3" s="303"/>
      <c r="K3" s="303" t="s">
        <v>34</v>
      </c>
      <c r="L3" s="303"/>
      <c r="M3" s="215" t="s">
        <v>35</v>
      </c>
      <c r="N3" s="215" t="s">
        <v>35</v>
      </c>
      <c r="O3" s="217" t="s">
        <v>35</v>
      </c>
      <c r="P3" s="1"/>
      <c r="Q3" s="40"/>
      <c r="W3" s="273" t="s">
        <v>52</v>
      </c>
      <c r="X3" s="273"/>
      <c r="Y3" s="273"/>
      <c r="Z3" s="273"/>
      <c r="AA3" s="273"/>
      <c r="AB3" s="273"/>
    </row>
    <row r="4" spans="1:28" ht="14.45" customHeight="1" thickBot="1" x14ac:dyDescent="0.3">
      <c r="A4" s="300"/>
      <c r="B4" s="251" t="s">
        <v>37</v>
      </c>
      <c r="C4" s="253" t="s">
        <v>38</v>
      </c>
      <c r="D4" s="290" t="s">
        <v>37</v>
      </c>
      <c r="E4" s="292" t="s">
        <v>38</v>
      </c>
      <c r="F4" s="310" t="s">
        <v>39</v>
      </c>
      <c r="G4" s="308" t="s">
        <v>40</v>
      </c>
      <c r="H4" s="308" t="s">
        <v>41</v>
      </c>
      <c r="I4" s="304" t="s">
        <v>129</v>
      </c>
      <c r="J4" s="305"/>
      <c r="K4" s="304" t="s">
        <v>43</v>
      </c>
      <c r="L4" s="305"/>
      <c r="M4" s="312" t="s">
        <v>44</v>
      </c>
      <c r="N4" s="312" t="s">
        <v>45</v>
      </c>
      <c r="O4" s="306" t="s">
        <v>46</v>
      </c>
      <c r="P4" s="1"/>
      <c r="Q4" s="40"/>
      <c r="U4" s="1" t="s">
        <v>130</v>
      </c>
      <c r="V4" s="44" t="s">
        <v>131</v>
      </c>
      <c r="W4" s="44" t="s">
        <v>48</v>
      </c>
      <c r="X4" s="44" t="s">
        <v>50</v>
      </c>
      <c r="Y4" s="44" t="s">
        <v>132</v>
      </c>
      <c r="Z4" s="44" t="s">
        <v>133</v>
      </c>
      <c r="AA4" s="44" t="s">
        <v>134</v>
      </c>
    </row>
    <row r="5" spans="1:28" ht="27" customHeight="1" thickBot="1" x14ac:dyDescent="0.25">
      <c r="A5" s="301"/>
      <c r="B5" s="302"/>
      <c r="C5" s="289"/>
      <c r="D5" s="291"/>
      <c r="E5" s="293"/>
      <c r="F5" s="311"/>
      <c r="G5" s="309"/>
      <c r="H5" s="309"/>
      <c r="I5" s="45" t="s">
        <v>48</v>
      </c>
      <c r="J5" s="45" t="s">
        <v>49</v>
      </c>
      <c r="K5" s="211" t="s">
        <v>50</v>
      </c>
      <c r="L5" s="211" t="s">
        <v>51</v>
      </c>
      <c r="M5" s="313"/>
      <c r="N5" s="313"/>
      <c r="O5" s="307"/>
      <c r="P5" s="1"/>
      <c r="Q5" s="40"/>
      <c r="U5" s="1">
        <v>0</v>
      </c>
      <c r="V5" s="46">
        <f>H6</f>
        <v>25.509733298740937</v>
      </c>
      <c r="W5" s="46">
        <f>I6</f>
        <v>31.926845238095243</v>
      </c>
      <c r="X5" s="46">
        <f>K6</f>
        <v>35.119529761904772</v>
      </c>
      <c r="Y5" s="46">
        <f>M6</f>
        <v>38.631482738095251</v>
      </c>
      <c r="Z5" s="46">
        <f>N6</f>
        <v>42.494631011904779</v>
      </c>
      <c r="AA5" s="46">
        <f>O6</f>
        <v>46.744094113095258</v>
      </c>
    </row>
    <row r="6" spans="1:28" x14ac:dyDescent="0.2">
      <c r="A6" s="47" t="s">
        <v>52</v>
      </c>
      <c r="B6" s="48">
        <v>16.03</v>
      </c>
      <c r="C6" s="49">
        <f>B6*2080</f>
        <v>33342.400000000001</v>
      </c>
      <c r="D6" s="50">
        <v>31.926845238095243</v>
      </c>
      <c r="E6" s="141">
        <v>66407.838095238112</v>
      </c>
      <c r="F6" s="51">
        <v>25.509733298740937</v>
      </c>
      <c r="G6" s="52">
        <v>25.509733298740937</v>
      </c>
      <c r="H6" s="52">
        <v>25.509733298740937</v>
      </c>
      <c r="I6" s="53">
        <v>31.926845238095243</v>
      </c>
      <c r="J6" s="54">
        <v>33.523187500000006</v>
      </c>
      <c r="K6" s="53">
        <v>35.119529761904772</v>
      </c>
      <c r="L6" s="53">
        <f>K6*1.05</f>
        <v>36.875506250000015</v>
      </c>
      <c r="M6" s="53">
        <v>38.631482738095251</v>
      </c>
      <c r="N6" s="53">
        <v>42.494631011904779</v>
      </c>
      <c r="O6" s="53">
        <v>46.744094113095258</v>
      </c>
      <c r="P6" s="46"/>
      <c r="Q6" s="158"/>
      <c r="U6" s="1">
        <v>1</v>
      </c>
      <c r="V6" s="46">
        <f t="shared" ref="V6:V25" si="0">V5*1.025</f>
        <v>26.147476631209457</v>
      </c>
      <c r="W6" s="46">
        <f t="shared" ref="W6:W25" si="1">W5*1.025</f>
        <v>32.725016369047623</v>
      </c>
      <c r="X6" s="46">
        <f t="shared" ref="X6:X25" si="2">X5*1.025</f>
        <v>35.997518005952386</v>
      </c>
      <c r="Y6" s="46">
        <f t="shared" ref="Y6:Y25" si="3">Y5*1.025</f>
        <v>39.597269806547629</v>
      </c>
      <c r="Z6" s="46">
        <f t="shared" ref="Z6:Z25" si="4">Z5*1.025</f>
        <v>43.556996787202394</v>
      </c>
      <c r="AA6" s="46">
        <f t="shared" ref="AA6:AA25" si="5">AA5*1.025</f>
        <v>47.912696465922636</v>
      </c>
    </row>
    <row r="7" spans="1:28" x14ac:dyDescent="0.2">
      <c r="A7" s="286" t="s">
        <v>135</v>
      </c>
      <c r="B7" s="287"/>
      <c r="C7" s="287"/>
      <c r="D7" s="287"/>
      <c r="E7" s="287"/>
      <c r="F7" s="287"/>
      <c r="G7" s="287"/>
      <c r="H7" s="288"/>
      <c r="I7" s="55">
        <f>I6-H6</f>
        <v>6.4171119393543066</v>
      </c>
      <c r="J7" s="55">
        <f t="shared" ref="J7:O7" si="6">J6-I6</f>
        <v>1.5963422619047627</v>
      </c>
      <c r="K7" s="55">
        <f t="shared" si="6"/>
        <v>1.5963422619047662</v>
      </c>
      <c r="L7" s="55">
        <f>L6-K6</f>
        <v>1.7559764880952429</v>
      </c>
      <c r="M7" s="55">
        <f t="shared" si="6"/>
        <v>1.7559764880952358</v>
      </c>
      <c r="N7" s="55">
        <f t="shared" si="6"/>
        <v>3.8631482738095286</v>
      </c>
      <c r="O7" s="55">
        <f t="shared" si="6"/>
        <v>4.2494631011904787</v>
      </c>
      <c r="P7" s="1"/>
      <c r="U7" s="1">
        <v>2</v>
      </c>
      <c r="V7" s="46">
        <f t="shared" si="0"/>
        <v>26.801163546989692</v>
      </c>
      <c r="W7" s="46">
        <f t="shared" si="1"/>
        <v>33.543141778273814</v>
      </c>
      <c r="X7" s="46">
        <f t="shared" si="2"/>
        <v>36.89745595610119</v>
      </c>
      <c r="Y7" s="46">
        <f t="shared" si="3"/>
        <v>40.587201551711317</v>
      </c>
      <c r="Z7" s="46">
        <f t="shared" si="4"/>
        <v>44.645921706882447</v>
      </c>
      <c r="AA7" s="46">
        <f t="shared" si="5"/>
        <v>49.110513877570696</v>
      </c>
    </row>
    <row r="8" spans="1:28" x14ac:dyDescent="0.2">
      <c r="A8" s="56" t="s">
        <v>62</v>
      </c>
      <c r="B8" s="57">
        <v>16.03</v>
      </c>
      <c r="C8" s="58">
        <v>33342.400000000001</v>
      </c>
      <c r="D8" s="57">
        <v>29.024404761904766</v>
      </c>
      <c r="E8" s="58">
        <v>60370.761904761908</v>
      </c>
      <c r="F8" s="59">
        <v>23.190666635219031</v>
      </c>
      <c r="G8" s="60">
        <v>23.190666635219031</v>
      </c>
      <c r="H8" s="60">
        <v>23.190666635219031</v>
      </c>
      <c r="I8" s="61">
        <v>29.024404761904766</v>
      </c>
      <c r="J8" s="61">
        <v>30.475625000000004</v>
      </c>
      <c r="K8" s="61">
        <v>31.926845238095243</v>
      </c>
      <c r="L8" s="61">
        <f t="shared" ref="L8" si="7">K8*1.05</f>
        <v>33.523187500000006</v>
      </c>
      <c r="M8" s="61">
        <v>35.119529761904772</v>
      </c>
      <c r="N8" s="61">
        <v>38.631482738095251</v>
      </c>
      <c r="O8" s="62">
        <v>42.494631011904779</v>
      </c>
      <c r="P8" s="1"/>
      <c r="U8" s="1">
        <v>3</v>
      </c>
      <c r="V8" s="46">
        <f t="shared" si="0"/>
        <v>27.47119263566443</v>
      </c>
      <c r="W8" s="46">
        <f t="shared" si="1"/>
        <v>34.381720322730658</v>
      </c>
      <c r="X8" s="46">
        <f t="shared" si="2"/>
        <v>37.819892355003716</v>
      </c>
      <c r="Y8" s="46">
        <f t="shared" si="3"/>
        <v>41.6018815905041</v>
      </c>
      <c r="Z8" s="46">
        <f t="shared" si="4"/>
        <v>45.762069749554506</v>
      </c>
      <c r="AA8" s="46">
        <f t="shared" si="5"/>
        <v>50.33827672450996</v>
      </c>
    </row>
    <row r="9" spans="1:28" x14ac:dyDescent="0.2">
      <c r="A9" s="286" t="s">
        <v>135</v>
      </c>
      <c r="B9" s="287"/>
      <c r="C9" s="287"/>
      <c r="D9" s="287"/>
      <c r="E9" s="287"/>
      <c r="F9" s="287"/>
      <c r="G9" s="287"/>
      <c r="H9" s="288"/>
      <c r="I9" s="55">
        <f>I8-H8</f>
        <v>5.8337381266857342</v>
      </c>
      <c r="J9" s="55">
        <f t="shared" ref="J9:O9" si="8">J8-I8</f>
        <v>1.4512202380952388</v>
      </c>
      <c r="K9" s="55">
        <f t="shared" si="8"/>
        <v>1.4512202380952388</v>
      </c>
      <c r="L9" s="55">
        <f>L8-K8</f>
        <v>1.5963422619047627</v>
      </c>
      <c r="M9" s="55">
        <f>M8-L8</f>
        <v>1.5963422619047662</v>
      </c>
      <c r="N9" s="55">
        <f t="shared" si="8"/>
        <v>3.5119529761904786</v>
      </c>
      <c r="O9" s="55">
        <f t="shared" si="8"/>
        <v>3.8631482738095286</v>
      </c>
      <c r="P9" s="1"/>
      <c r="U9" s="1">
        <v>4</v>
      </c>
      <c r="V9" s="46">
        <f t="shared" si="0"/>
        <v>28.157972451556038</v>
      </c>
      <c r="W9" s="46">
        <f t="shared" si="1"/>
        <v>35.241263330798922</v>
      </c>
      <c r="X9" s="46">
        <f t="shared" si="2"/>
        <v>38.765389663878807</v>
      </c>
      <c r="Y9" s="46">
        <f t="shared" si="3"/>
        <v>42.641928630266698</v>
      </c>
      <c r="Z9" s="46">
        <f t="shared" si="4"/>
        <v>46.906121493293362</v>
      </c>
      <c r="AA9" s="46">
        <f t="shared" si="5"/>
        <v>51.596733642622702</v>
      </c>
    </row>
    <row r="10" spans="1:28" x14ac:dyDescent="0.2">
      <c r="P10" s="1"/>
      <c r="Q10" s="40"/>
      <c r="U10" s="1">
        <v>5</v>
      </c>
      <c r="V10" s="46">
        <f t="shared" si="0"/>
        <v>28.861921762844936</v>
      </c>
      <c r="W10" s="46">
        <f t="shared" si="1"/>
        <v>36.122294914068895</v>
      </c>
      <c r="X10" s="46">
        <f t="shared" si="2"/>
        <v>39.734524405475774</v>
      </c>
      <c r="Y10" s="46">
        <f t="shared" si="3"/>
        <v>43.707976846023364</v>
      </c>
      <c r="Z10" s="46">
        <f t="shared" si="4"/>
        <v>48.078774530625694</v>
      </c>
      <c r="AA10" s="46">
        <f t="shared" si="5"/>
        <v>52.886651983688267</v>
      </c>
    </row>
    <row r="11" spans="1:28" x14ac:dyDescent="0.2">
      <c r="P11" s="1"/>
      <c r="Q11" s="40"/>
      <c r="U11" s="1">
        <v>6</v>
      </c>
      <c r="V11" s="46">
        <f t="shared" si="0"/>
        <v>29.583469806916057</v>
      </c>
      <c r="W11" s="46">
        <f t="shared" si="1"/>
        <v>37.025352286920615</v>
      </c>
      <c r="X11" s="46">
        <f t="shared" si="2"/>
        <v>40.727887515612665</v>
      </c>
      <c r="Y11" s="46">
        <f t="shared" si="3"/>
        <v>44.800676267173941</v>
      </c>
      <c r="Z11" s="46">
        <f t="shared" si="4"/>
        <v>49.280743893891334</v>
      </c>
      <c r="AA11" s="46">
        <f t="shared" si="5"/>
        <v>54.208818283280472</v>
      </c>
    </row>
    <row r="12" spans="1:28" x14ac:dyDescent="0.2">
      <c r="P12" s="1"/>
      <c r="Q12" s="40"/>
      <c r="U12" s="1">
        <v>7</v>
      </c>
      <c r="V12" s="46">
        <f t="shared" si="0"/>
        <v>30.323056552088957</v>
      </c>
      <c r="W12" s="46">
        <f t="shared" si="1"/>
        <v>37.950986094093629</v>
      </c>
      <c r="X12" s="46">
        <f t="shared" si="2"/>
        <v>41.74608470350298</v>
      </c>
      <c r="Y12" s="46">
        <f t="shared" si="3"/>
        <v>45.920693173853287</v>
      </c>
      <c r="Z12" s="46">
        <f t="shared" si="4"/>
        <v>50.512762491238611</v>
      </c>
      <c r="AA12" s="46">
        <f t="shared" si="5"/>
        <v>55.564038740362477</v>
      </c>
    </row>
    <row r="13" spans="1:28" x14ac:dyDescent="0.2">
      <c r="P13" s="1"/>
      <c r="Q13" s="40"/>
      <c r="U13" s="1">
        <v>8</v>
      </c>
      <c r="V13" s="46">
        <f t="shared" si="0"/>
        <v>31.081132965891179</v>
      </c>
      <c r="W13" s="46">
        <f t="shared" si="1"/>
        <v>38.899760746445963</v>
      </c>
      <c r="X13" s="46">
        <f t="shared" si="2"/>
        <v>42.78973682109055</v>
      </c>
      <c r="Y13" s="46">
        <f t="shared" si="3"/>
        <v>47.068710503199618</v>
      </c>
      <c r="Z13" s="46">
        <f t="shared" si="4"/>
        <v>51.775581553519572</v>
      </c>
      <c r="AA13" s="46">
        <f t="shared" si="5"/>
        <v>56.953139708871532</v>
      </c>
    </row>
    <row r="14" spans="1:28" ht="16.5" thickBot="1" x14ac:dyDescent="0.3">
      <c r="A14" s="28" t="s">
        <v>136</v>
      </c>
      <c r="B14" s="28"/>
      <c r="C14" s="28"/>
      <c r="D14" s="28"/>
      <c r="E14" s="28"/>
      <c r="F14" s="28"/>
      <c r="G14" s="28"/>
      <c r="H14" s="28"/>
      <c r="I14" s="28"/>
      <c r="J14" s="28"/>
      <c r="K14" s="28"/>
      <c r="L14" s="28"/>
      <c r="M14" s="28"/>
      <c r="N14" s="28"/>
      <c r="O14" s="28"/>
      <c r="P14" s="28"/>
      <c r="Q14" s="28"/>
      <c r="R14" s="28"/>
      <c r="S14" s="28"/>
      <c r="T14" s="28"/>
      <c r="U14" s="1">
        <v>9</v>
      </c>
      <c r="V14" s="46">
        <f t="shared" si="0"/>
        <v>31.858161290038456</v>
      </c>
      <c r="W14" s="46">
        <f t="shared" si="1"/>
        <v>39.872254765107108</v>
      </c>
      <c r="X14" s="46">
        <f t="shared" si="2"/>
        <v>43.85948024161781</v>
      </c>
      <c r="Y14" s="46">
        <f t="shared" si="3"/>
        <v>48.245428265779601</v>
      </c>
      <c r="Z14" s="46">
        <f t="shared" si="4"/>
        <v>53.069971092357555</v>
      </c>
      <c r="AA14" s="46">
        <f t="shared" si="5"/>
        <v>58.376968201593314</v>
      </c>
    </row>
    <row r="15" spans="1:28" ht="15.75" thickBot="1" x14ac:dyDescent="0.3">
      <c r="A15" s="274" t="s">
        <v>137</v>
      </c>
      <c r="B15" s="277" t="s">
        <v>33</v>
      </c>
      <c r="C15" s="278"/>
      <c r="D15" s="278"/>
      <c r="E15" s="278" t="s">
        <v>33</v>
      </c>
      <c r="F15" s="278"/>
      <c r="G15" s="278"/>
      <c r="H15" s="278" t="s">
        <v>34</v>
      </c>
      <c r="I15" s="278"/>
      <c r="J15" s="278"/>
      <c r="K15" s="278" t="s">
        <v>35</v>
      </c>
      <c r="L15" s="278"/>
      <c r="M15" s="278"/>
      <c r="N15" s="278" t="s">
        <v>35</v>
      </c>
      <c r="O15" s="278"/>
      <c r="P15" s="279"/>
      <c r="Q15" s="278" t="s">
        <v>35</v>
      </c>
      <c r="R15" s="278"/>
      <c r="S15" s="279"/>
      <c r="T15" s="63"/>
      <c r="U15" s="1">
        <v>10</v>
      </c>
      <c r="V15" s="46">
        <f t="shared" si="0"/>
        <v>32.654615322289416</v>
      </c>
      <c r="W15" s="46">
        <f t="shared" si="1"/>
        <v>40.869061134234784</v>
      </c>
      <c r="X15" s="46">
        <f t="shared" si="2"/>
        <v>44.955967247658251</v>
      </c>
      <c r="Y15" s="46">
        <f t="shared" si="3"/>
        <v>49.45156397242409</v>
      </c>
      <c r="Z15" s="46">
        <f t="shared" si="4"/>
        <v>54.39672036966649</v>
      </c>
      <c r="AA15" s="46">
        <f t="shared" si="5"/>
        <v>59.836392406633145</v>
      </c>
    </row>
    <row r="16" spans="1:28" ht="15" x14ac:dyDescent="0.2">
      <c r="A16" s="275"/>
      <c r="B16" s="280" t="s">
        <v>138</v>
      </c>
      <c r="C16" s="281"/>
      <c r="D16" s="281"/>
      <c r="E16" s="294" t="s">
        <v>129</v>
      </c>
      <c r="F16" s="295"/>
      <c r="G16" s="296"/>
      <c r="H16" s="294" t="s">
        <v>43</v>
      </c>
      <c r="I16" s="295"/>
      <c r="J16" s="296"/>
      <c r="K16" s="283" t="s">
        <v>139</v>
      </c>
      <c r="L16" s="284"/>
      <c r="M16" s="285"/>
      <c r="N16" s="283" t="s">
        <v>45</v>
      </c>
      <c r="O16" s="284"/>
      <c r="P16" s="285"/>
      <c r="Q16" s="283" t="s">
        <v>140</v>
      </c>
      <c r="R16" s="284"/>
      <c r="S16" s="285"/>
      <c r="T16" s="64"/>
      <c r="U16" s="1">
        <v>11</v>
      </c>
      <c r="V16" s="46">
        <f t="shared" si="0"/>
        <v>33.470980705346648</v>
      </c>
      <c r="W16" s="46">
        <f t="shared" si="1"/>
        <v>41.890787662590647</v>
      </c>
      <c r="X16" s="46">
        <f t="shared" si="2"/>
        <v>46.079866428849705</v>
      </c>
      <c r="Y16" s="46">
        <f t="shared" si="3"/>
        <v>50.687853071734686</v>
      </c>
      <c r="Z16" s="46">
        <f t="shared" si="4"/>
        <v>55.75663837890815</v>
      </c>
      <c r="AA16" s="46">
        <f t="shared" si="5"/>
        <v>61.332302216798965</v>
      </c>
    </row>
    <row r="17" spans="1:27" ht="15" thickBot="1" x14ac:dyDescent="0.25">
      <c r="A17" s="276"/>
      <c r="B17" s="65" t="s">
        <v>141</v>
      </c>
      <c r="C17" s="66" t="s">
        <v>142</v>
      </c>
      <c r="D17" s="66" t="s">
        <v>143</v>
      </c>
      <c r="E17" s="67" t="s">
        <v>141</v>
      </c>
      <c r="F17" s="68" t="s">
        <v>142</v>
      </c>
      <c r="G17" s="69" t="s">
        <v>143</v>
      </c>
      <c r="H17" s="66" t="s">
        <v>141</v>
      </c>
      <c r="I17" s="66" t="s">
        <v>142</v>
      </c>
      <c r="J17" s="70" t="s">
        <v>143</v>
      </c>
      <c r="K17" s="65" t="s">
        <v>141</v>
      </c>
      <c r="L17" s="66" t="s">
        <v>142</v>
      </c>
      <c r="M17" s="70" t="s">
        <v>143</v>
      </c>
      <c r="N17" s="65" t="s">
        <v>141</v>
      </c>
      <c r="O17" s="66" t="s">
        <v>142</v>
      </c>
      <c r="P17" s="70" t="s">
        <v>143</v>
      </c>
      <c r="Q17" s="65" t="s">
        <v>141</v>
      </c>
      <c r="R17" s="66" t="s">
        <v>142</v>
      </c>
      <c r="S17" s="70" t="s">
        <v>143</v>
      </c>
      <c r="T17" s="71"/>
      <c r="U17" s="1">
        <v>12</v>
      </c>
      <c r="V17" s="46">
        <f t="shared" si="0"/>
        <v>34.307755222980312</v>
      </c>
      <c r="W17" s="46">
        <f t="shared" si="1"/>
        <v>42.938057354155411</v>
      </c>
      <c r="X17" s="46">
        <f t="shared" si="2"/>
        <v>47.231863089570943</v>
      </c>
      <c r="Y17" s="46">
        <f t="shared" si="3"/>
        <v>51.955049398528047</v>
      </c>
      <c r="Z17" s="46">
        <f t="shared" si="4"/>
        <v>57.15055433838085</v>
      </c>
      <c r="AA17" s="46">
        <f t="shared" si="5"/>
        <v>62.865609772218932</v>
      </c>
    </row>
    <row r="18" spans="1:27" x14ac:dyDescent="0.2">
      <c r="A18" s="72" t="s">
        <v>144</v>
      </c>
      <c r="B18" s="73">
        <f>H6</f>
        <v>25.509733298740937</v>
      </c>
      <c r="C18" s="73">
        <f>MEDIAN(B18,D18)</f>
        <v>26.490462967202689</v>
      </c>
      <c r="D18" s="73">
        <f>B18*((1.025)^3)</f>
        <v>27.471192635664437</v>
      </c>
      <c r="E18" s="74">
        <f>I6</f>
        <v>31.926845238095243</v>
      </c>
      <c r="F18" s="73">
        <f>MEDIAN(E18,G18)</f>
        <v>33.154282780412949</v>
      </c>
      <c r="G18" s="75">
        <f>E18*((1.025)^3)</f>
        <v>34.381720322730658</v>
      </c>
      <c r="H18" s="73">
        <f>K6</f>
        <v>35.119529761904772</v>
      </c>
      <c r="I18" s="73">
        <f>MEDIAN(H18,J18)</f>
        <v>36.469711058454251</v>
      </c>
      <c r="J18" s="75">
        <f>H18*((1.025)^3)</f>
        <v>37.819892355003724</v>
      </c>
      <c r="K18" s="74">
        <f>M6</f>
        <v>38.631482738095251</v>
      </c>
      <c r="L18" s="73">
        <f>MEDIAN(K18,M18)</f>
        <v>40.116682164299675</v>
      </c>
      <c r="M18" s="75">
        <f>K18*((1.025)^3)</f>
        <v>41.6018815905041</v>
      </c>
      <c r="N18" s="74">
        <f>N6</f>
        <v>42.494631011904779</v>
      </c>
      <c r="O18" s="73">
        <f>MEDIAN(N18,P18)</f>
        <v>44.128350380729643</v>
      </c>
      <c r="P18" s="75">
        <f>N18*((1.025)^3)</f>
        <v>45.762069749554513</v>
      </c>
      <c r="Q18" s="74">
        <f>O6</f>
        <v>46.744094113095258</v>
      </c>
      <c r="R18" s="73">
        <f>MEDIAN(Q18,S18)</f>
        <v>48.541185418802613</v>
      </c>
      <c r="S18" s="75">
        <f>Q18*((1.025)^3)</f>
        <v>50.338276724509967</v>
      </c>
      <c r="T18" s="73"/>
      <c r="U18" s="1">
        <v>13</v>
      </c>
      <c r="V18" s="46">
        <f t="shared" si="0"/>
        <v>35.165449103554813</v>
      </c>
      <c r="W18" s="46">
        <f t="shared" si="1"/>
        <v>44.011508788009294</v>
      </c>
      <c r="X18" s="46">
        <f t="shared" si="2"/>
        <v>48.412659666810214</v>
      </c>
      <c r="Y18" s="46">
        <f t="shared" si="3"/>
        <v>53.253925633491242</v>
      </c>
      <c r="Z18" s="46">
        <f t="shared" si="4"/>
        <v>58.579318196840369</v>
      </c>
      <c r="AA18" s="46">
        <f t="shared" si="5"/>
        <v>64.437250016524402</v>
      </c>
    </row>
    <row r="19" spans="1:27" x14ac:dyDescent="0.2">
      <c r="A19" s="76" t="s">
        <v>145</v>
      </c>
      <c r="B19" s="73">
        <f>B18*((1.025)^4)</f>
        <v>28.157972451556045</v>
      </c>
      <c r="C19" s="73">
        <f t="shared" ref="C19:C23" si="9">MEDIAN(B19,D19)</f>
        <v>28.870721129236053</v>
      </c>
      <c r="D19" s="73">
        <f>B18*((1.025)^6)</f>
        <v>29.583469806916064</v>
      </c>
      <c r="E19" s="74">
        <f>E18*((1.025)^4)</f>
        <v>35.241263330798922</v>
      </c>
      <c r="F19" s="73">
        <f t="shared" ref="F19:F23" si="10">MEDIAN(E19,G19)</f>
        <v>36.133307808859769</v>
      </c>
      <c r="G19" s="75">
        <f>E18*((1.025)^6)</f>
        <v>37.025352286920608</v>
      </c>
      <c r="H19" s="73">
        <f>H18*((1.025)^4)</f>
        <v>38.765389663878814</v>
      </c>
      <c r="I19" s="73">
        <f t="shared" ref="I19:I23" si="11">MEDIAN(H19,J19)</f>
        <v>39.746638589745743</v>
      </c>
      <c r="J19" s="75">
        <f>H18*((1.025)^6)</f>
        <v>40.727887515612672</v>
      </c>
      <c r="K19" s="74">
        <f>K18*((1.025)^4)</f>
        <v>42.641928630266698</v>
      </c>
      <c r="L19" s="73">
        <f t="shared" ref="L19:L23" si="12">MEDIAN(K19,M19)</f>
        <v>43.721302448720323</v>
      </c>
      <c r="M19" s="75">
        <f>K18*((1.025)^6)</f>
        <v>44.800676267173941</v>
      </c>
      <c r="N19" s="74">
        <f>N18*((1.025)^4)</f>
        <v>46.906121493293377</v>
      </c>
      <c r="O19" s="73">
        <f t="shared" ref="O19:O23" si="13">MEDIAN(N19,P19)</f>
        <v>48.093432693592362</v>
      </c>
      <c r="P19" s="75">
        <f>N18*((1.025)^6)</f>
        <v>49.280743893891341</v>
      </c>
      <c r="Q19" s="74">
        <f>Q18*((1.025)^4)</f>
        <v>51.596733642622709</v>
      </c>
      <c r="R19" s="73">
        <f t="shared" ref="R19:R23" si="14">MEDIAN(Q19,S19)</f>
        <v>52.902775962951594</v>
      </c>
      <c r="S19" s="75">
        <f>Q18*((1.025)^6)</f>
        <v>54.208818283280479</v>
      </c>
      <c r="T19" s="73"/>
      <c r="U19" s="1">
        <v>14</v>
      </c>
      <c r="V19" s="46">
        <f t="shared" si="0"/>
        <v>36.044585331143679</v>
      </c>
      <c r="W19" s="46">
        <f t="shared" si="1"/>
        <v>45.111796507709521</v>
      </c>
      <c r="X19" s="46">
        <f t="shared" si="2"/>
        <v>49.622976158480462</v>
      </c>
      <c r="Y19" s="46">
        <f t="shared" si="3"/>
        <v>54.58527377432852</v>
      </c>
      <c r="Z19" s="46">
        <f t="shared" si="4"/>
        <v>60.043801151761372</v>
      </c>
      <c r="AA19" s="46">
        <f t="shared" si="5"/>
        <v>66.048181266937505</v>
      </c>
    </row>
    <row r="20" spans="1:27" x14ac:dyDescent="0.2">
      <c r="A20" s="76" t="s">
        <v>146</v>
      </c>
      <c r="B20" s="73">
        <f>B18*((1.025)^7)</f>
        <v>30.323056552088968</v>
      </c>
      <c r="C20" s="73">
        <f t="shared" si="9"/>
        <v>31.090608921063716</v>
      </c>
      <c r="D20" s="73">
        <f>B18*((1.025)^9)</f>
        <v>31.858161290038463</v>
      </c>
      <c r="E20" s="74">
        <f>E18*((1.025)^7)</f>
        <v>37.950986094093622</v>
      </c>
      <c r="F20" s="73">
        <f t="shared" si="10"/>
        <v>38.911620429600362</v>
      </c>
      <c r="G20" s="75">
        <f>E18*((1.025)^9)</f>
        <v>39.872254765107108</v>
      </c>
      <c r="H20" s="73">
        <f>H18*((1.025)^7)</f>
        <v>41.746084703502994</v>
      </c>
      <c r="I20" s="73">
        <f t="shared" si="11"/>
        <v>42.802782472560409</v>
      </c>
      <c r="J20" s="75">
        <f>H18*((1.025)^9)</f>
        <v>43.859480241617824</v>
      </c>
      <c r="K20" s="74">
        <f>K18*((1.025)^7)</f>
        <v>45.920693173853294</v>
      </c>
      <c r="L20" s="73">
        <f t="shared" si="12"/>
        <v>47.083060719816451</v>
      </c>
      <c r="M20" s="75">
        <f>K18*((1.025)^9)</f>
        <v>48.245428265779609</v>
      </c>
      <c r="N20" s="74">
        <f>N18*((1.025)^7)</f>
        <v>50.512762491238625</v>
      </c>
      <c r="O20" s="73">
        <f t="shared" si="13"/>
        <v>51.791366791798097</v>
      </c>
      <c r="P20" s="75">
        <f>N18*((1.025)^9)</f>
        <v>53.069971092357569</v>
      </c>
      <c r="Q20" s="74">
        <f>Q18*((1.025)^7)</f>
        <v>55.564038740362491</v>
      </c>
      <c r="R20" s="73">
        <f t="shared" si="14"/>
        <v>56.97050347097791</v>
      </c>
      <c r="S20" s="75">
        <f>Q18*((1.025)^9)</f>
        <v>58.376968201593328</v>
      </c>
      <c r="T20" s="73"/>
      <c r="U20" s="1">
        <v>15</v>
      </c>
      <c r="V20" s="46">
        <f t="shared" si="0"/>
        <v>36.945699964422268</v>
      </c>
      <c r="W20" s="46">
        <f t="shared" si="1"/>
        <v>46.239591420402256</v>
      </c>
      <c r="X20" s="46">
        <f t="shared" si="2"/>
        <v>50.86355056244247</v>
      </c>
      <c r="Y20" s="46">
        <f t="shared" si="3"/>
        <v>55.949905618686728</v>
      </c>
      <c r="Z20" s="46">
        <f t="shared" si="4"/>
        <v>61.544896180555398</v>
      </c>
      <c r="AA20" s="46">
        <f t="shared" si="5"/>
        <v>67.699385798610933</v>
      </c>
    </row>
    <row r="21" spans="1:27" x14ac:dyDescent="0.2">
      <c r="A21" s="76" t="s">
        <v>147</v>
      </c>
      <c r="B21" s="73">
        <f>B18*((1.025)^10)</f>
        <v>32.654615322289423</v>
      </c>
      <c r="C21" s="73">
        <f t="shared" si="9"/>
        <v>33.481185272634875</v>
      </c>
      <c r="D21" s="73">
        <f>B18*((1.025)^12)</f>
        <v>34.307755222980326</v>
      </c>
      <c r="E21" s="74">
        <f>E18*((1.025)^10)</f>
        <v>40.869061134234784</v>
      </c>
      <c r="F21" s="73">
        <f t="shared" si="10"/>
        <v>41.903559244195094</v>
      </c>
      <c r="G21" s="75">
        <f>E18*((1.025)^12)</f>
        <v>42.938057354155411</v>
      </c>
      <c r="H21" s="73">
        <f>H18*((1.025)^10)</f>
        <v>44.955967247658265</v>
      </c>
      <c r="I21" s="73">
        <f t="shared" si="11"/>
        <v>46.093915168614615</v>
      </c>
      <c r="J21" s="75">
        <f>H18*((1.025)^12)</f>
        <v>47.231863089570965</v>
      </c>
      <c r="K21" s="74">
        <f>K18*((1.025)^10)</f>
        <v>49.451563972424097</v>
      </c>
      <c r="L21" s="73">
        <f t="shared" si="12"/>
        <v>50.703306685476079</v>
      </c>
      <c r="M21" s="75">
        <f>K18*((1.025)^12)</f>
        <v>51.955049398528061</v>
      </c>
      <c r="N21" s="74">
        <f>N18*((1.025)^10)</f>
        <v>54.396720369666511</v>
      </c>
      <c r="O21" s="73">
        <f t="shared" si="13"/>
        <v>55.773637354023691</v>
      </c>
      <c r="P21" s="75">
        <f>N18*((1.025)^12)</f>
        <v>57.150554338380871</v>
      </c>
      <c r="Q21" s="74">
        <f>Q18*((1.025)^10)</f>
        <v>59.836392406633159</v>
      </c>
      <c r="R21" s="73">
        <f t="shared" si="14"/>
        <v>61.351001089426063</v>
      </c>
      <c r="S21" s="75">
        <f>Q18*((1.025)^12)</f>
        <v>62.86560977221896</v>
      </c>
      <c r="T21" s="73"/>
      <c r="U21" s="1">
        <v>16</v>
      </c>
      <c r="V21" s="46">
        <f t="shared" si="0"/>
        <v>37.869342463532824</v>
      </c>
      <c r="W21" s="46">
        <f t="shared" si="1"/>
        <v>47.395581205912308</v>
      </c>
      <c r="X21" s="46">
        <f t="shared" si="2"/>
        <v>52.135139326503527</v>
      </c>
      <c r="Y21" s="46">
        <f t="shared" si="3"/>
        <v>57.348653259153892</v>
      </c>
      <c r="Z21" s="46">
        <f t="shared" si="4"/>
        <v>63.083518585069278</v>
      </c>
      <c r="AA21" s="46">
        <f t="shared" si="5"/>
        <v>69.391870443576195</v>
      </c>
    </row>
    <row r="22" spans="1:27" x14ac:dyDescent="0.2">
      <c r="A22" s="76" t="s">
        <v>148</v>
      </c>
      <c r="B22" s="73">
        <f>B18*((1.025)^13)</f>
        <v>35.165449103554828</v>
      </c>
      <c r="C22" s="73">
        <f t="shared" si="9"/>
        <v>36.055574533988562</v>
      </c>
      <c r="D22" s="73">
        <f>B18*((1.025)^15)</f>
        <v>36.945699964422296</v>
      </c>
      <c r="E22" s="74">
        <f>E18*((1.025)^13)</f>
        <v>44.011508788009301</v>
      </c>
      <c r="F22" s="73">
        <f t="shared" si="10"/>
        <v>45.125550104205786</v>
      </c>
      <c r="G22" s="75">
        <f>E18*((1.025)^15)</f>
        <v>46.23959142040227</v>
      </c>
      <c r="H22" s="73">
        <f>H18*((1.025)^13)</f>
        <v>48.412659666810235</v>
      </c>
      <c r="I22" s="73">
        <f t="shared" si="11"/>
        <v>49.63810511462637</v>
      </c>
      <c r="J22" s="75">
        <f>H18*((1.025)^15)</f>
        <v>50.863550562442505</v>
      </c>
      <c r="K22" s="74">
        <f>K18*((1.025)^13)</f>
        <v>53.253925633491257</v>
      </c>
      <c r="L22" s="73">
        <f t="shared" si="12"/>
        <v>54.60191562608901</v>
      </c>
      <c r="M22" s="75">
        <f>K18*((1.025)^15)</f>
        <v>55.949905618686756</v>
      </c>
      <c r="N22" s="74">
        <f>N18*((1.025)^13)</f>
        <v>58.57931819684039</v>
      </c>
      <c r="O22" s="73">
        <f t="shared" si="13"/>
        <v>60.062107188697915</v>
      </c>
      <c r="P22" s="75">
        <f>N18*((1.025)^15)</f>
        <v>61.54489618055544</v>
      </c>
      <c r="Q22" s="74">
        <f>Q18*((1.025)^13)</f>
        <v>64.43725001652443</v>
      </c>
      <c r="R22" s="73">
        <f t="shared" si="14"/>
        <v>66.068317907567703</v>
      </c>
      <c r="S22" s="75">
        <f>Q18*((1.025)^15)</f>
        <v>67.699385798610976</v>
      </c>
      <c r="T22" s="73"/>
      <c r="U22" s="1">
        <v>17</v>
      </c>
      <c r="V22" s="46">
        <f t="shared" si="0"/>
        <v>38.816076025121141</v>
      </c>
      <c r="W22" s="46">
        <f t="shared" si="1"/>
        <v>48.580470736060114</v>
      </c>
      <c r="X22" s="46">
        <f t="shared" si="2"/>
        <v>53.438517809666109</v>
      </c>
      <c r="Y22" s="46">
        <f t="shared" si="3"/>
        <v>58.782369590632733</v>
      </c>
      <c r="Z22" s="46">
        <f t="shared" si="4"/>
        <v>64.660606549695999</v>
      </c>
      <c r="AA22" s="46">
        <f t="shared" si="5"/>
        <v>71.126667204665594</v>
      </c>
    </row>
    <row r="23" spans="1:27" x14ac:dyDescent="0.2">
      <c r="A23" s="77" t="s">
        <v>149</v>
      </c>
      <c r="B23" s="78">
        <f>B18*((1.025)^16)</f>
        <v>37.869342463532845</v>
      </c>
      <c r="C23" s="78">
        <f t="shared" si="9"/>
        <v>39.835005417136543</v>
      </c>
      <c r="D23" s="78">
        <f>B18*((1.025)^20)</f>
        <v>41.80066837074024</v>
      </c>
      <c r="E23" s="79">
        <f>E18*((1.025)^16)</f>
        <v>47.395581205912322</v>
      </c>
      <c r="F23" s="78">
        <f t="shared" si="10"/>
        <v>49.855717349831153</v>
      </c>
      <c r="G23" s="80">
        <f>E18*((1.025)^20)</f>
        <v>52.315853493749991</v>
      </c>
      <c r="H23" s="79">
        <f>H18*((1.025)^16)</f>
        <v>52.135139326503563</v>
      </c>
      <c r="I23" s="78">
        <f t="shared" si="11"/>
        <v>54.841289084814278</v>
      </c>
      <c r="J23" s="80">
        <f>H18*((1.025)^20)</f>
        <v>57.547438843125001</v>
      </c>
      <c r="K23" s="78">
        <f>K18*((1.025)^16)</f>
        <v>57.34865325915392</v>
      </c>
      <c r="L23" s="78">
        <f t="shared" si="12"/>
        <v>60.325417993295716</v>
      </c>
      <c r="M23" s="80">
        <f>K18*((1.025)^20)</f>
        <v>63.302182727437504</v>
      </c>
      <c r="N23" s="78">
        <f>N18*((1.025)^16)</f>
        <v>63.083518585069321</v>
      </c>
      <c r="O23" s="78">
        <f t="shared" si="13"/>
        <v>66.357959792625294</v>
      </c>
      <c r="P23" s="78">
        <f>N18*((1.025)^20)</f>
        <v>69.632401000181261</v>
      </c>
      <c r="Q23" s="79">
        <f>Q18*((1.025)^16)</f>
        <v>69.391870443576252</v>
      </c>
      <c r="R23" s="78">
        <f t="shared" si="14"/>
        <v>72.99375577188782</v>
      </c>
      <c r="S23" s="80">
        <f>Q18*((1.025)^20)</f>
        <v>76.595641100199387</v>
      </c>
      <c r="T23" s="73"/>
      <c r="U23" s="1">
        <v>18</v>
      </c>
      <c r="V23" s="46">
        <f t="shared" si="0"/>
        <v>39.786477925749168</v>
      </c>
      <c r="W23" s="46">
        <f t="shared" si="1"/>
        <v>49.794982504461615</v>
      </c>
      <c r="X23" s="46">
        <f t="shared" si="2"/>
        <v>54.774480754907756</v>
      </c>
      <c r="Y23" s="46">
        <f t="shared" si="3"/>
        <v>60.251928830398548</v>
      </c>
      <c r="Z23" s="46">
        <f t="shared" si="4"/>
        <v>66.27712171343839</v>
      </c>
      <c r="AA23" s="46">
        <f t="shared" si="5"/>
        <v>72.904833884782221</v>
      </c>
    </row>
    <row r="24" spans="1:27" ht="15" x14ac:dyDescent="0.25">
      <c r="A24" s="44"/>
      <c r="B24" s="36"/>
      <c r="C24" s="46"/>
      <c r="D24" s="36"/>
      <c r="E24" s="81"/>
      <c r="F24" s="81"/>
      <c r="G24" s="81"/>
      <c r="H24" s="81"/>
      <c r="I24" s="73"/>
      <c r="J24" s="73"/>
      <c r="M24" s="40"/>
      <c r="P24" s="1"/>
      <c r="U24" s="1">
        <v>19</v>
      </c>
      <c r="V24" s="46">
        <f t="shared" si="0"/>
        <v>40.78113987389289</v>
      </c>
      <c r="W24" s="46">
        <f t="shared" si="1"/>
        <v>51.03985706707315</v>
      </c>
      <c r="X24" s="46">
        <f t="shared" si="2"/>
        <v>56.143842773780449</v>
      </c>
      <c r="Y24" s="46">
        <f t="shared" si="3"/>
        <v>61.758227051158507</v>
      </c>
      <c r="Z24" s="46">
        <f t="shared" si="4"/>
        <v>67.934049756274348</v>
      </c>
      <c r="AA24" s="46">
        <f t="shared" si="5"/>
        <v>74.727454731901773</v>
      </c>
    </row>
    <row r="25" spans="1:27" ht="15" x14ac:dyDescent="0.25">
      <c r="A25" s="44"/>
      <c r="B25" s="36"/>
      <c r="C25" s="46"/>
      <c r="D25" s="36"/>
      <c r="E25" s="81"/>
      <c r="F25" s="81"/>
      <c r="G25" s="81"/>
      <c r="H25" s="81"/>
      <c r="I25" s="73"/>
      <c r="J25" s="73"/>
      <c r="M25" s="40"/>
      <c r="P25" s="1"/>
      <c r="U25" s="1">
        <v>20</v>
      </c>
      <c r="V25" s="46">
        <f t="shared" si="0"/>
        <v>41.800668370740212</v>
      </c>
      <c r="W25" s="46">
        <f t="shared" si="1"/>
        <v>52.315853493749977</v>
      </c>
      <c r="X25" s="46">
        <f t="shared" si="2"/>
        <v>57.547438843124958</v>
      </c>
      <c r="Y25" s="46">
        <f t="shared" si="3"/>
        <v>63.302182727437462</v>
      </c>
      <c r="Z25" s="46">
        <f t="shared" si="4"/>
        <v>69.632401000181204</v>
      </c>
      <c r="AA25" s="46">
        <f t="shared" si="5"/>
        <v>76.595641100199316</v>
      </c>
    </row>
    <row r="26" spans="1:27" ht="15" x14ac:dyDescent="0.25">
      <c r="A26" s="44"/>
      <c r="B26" s="36"/>
      <c r="C26" s="46"/>
      <c r="D26" s="36"/>
      <c r="E26" s="81"/>
      <c r="F26" s="81"/>
      <c r="G26" s="81"/>
      <c r="H26" s="81"/>
      <c r="I26" s="73"/>
      <c r="J26" s="73"/>
      <c r="M26" s="40"/>
      <c r="P26" s="1"/>
      <c r="V26" s="46"/>
      <c r="W26" s="46"/>
      <c r="X26" s="46"/>
      <c r="Y26" s="46"/>
      <c r="Z26" s="46"/>
      <c r="AA26" s="46"/>
    </row>
    <row r="27" spans="1:27" x14ac:dyDescent="0.2">
      <c r="O27" s="40"/>
      <c r="P27" s="1"/>
      <c r="U27" s="46"/>
      <c r="V27" s="46"/>
      <c r="W27" s="46"/>
      <c r="X27" s="46"/>
      <c r="Y27" s="46"/>
      <c r="Z27" s="46"/>
      <c r="AA27" s="46"/>
    </row>
    <row r="28" spans="1:27" ht="16.5" thickBot="1" x14ac:dyDescent="0.3">
      <c r="A28" s="28" t="s">
        <v>150</v>
      </c>
      <c r="B28" s="28"/>
      <c r="C28" s="28"/>
      <c r="D28" s="28"/>
      <c r="E28" s="28"/>
      <c r="F28" s="28"/>
      <c r="G28" s="28"/>
      <c r="H28" s="28"/>
      <c r="I28" s="28"/>
      <c r="J28" s="28"/>
      <c r="K28" s="28"/>
      <c r="L28" s="28"/>
      <c r="M28" s="28"/>
      <c r="N28" s="28"/>
      <c r="O28" s="28"/>
      <c r="P28" s="28"/>
      <c r="Q28" s="28"/>
      <c r="R28" s="28"/>
      <c r="S28" s="28"/>
      <c r="U28" s="46"/>
      <c r="V28" s="46" t="s">
        <v>62</v>
      </c>
      <c r="W28" s="46"/>
      <c r="X28" s="46"/>
      <c r="Y28" s="46"/>
      <c r="Z28" s="46"/>
      <c r="AA28" s="46"/>
    </row>
    <row r="29" spans="1:27" ht="15.75" thickBot="1" x14ac:dyDescent="0.3">
      <c r="A29" s="274" t="s">
        <v>137</v>
      </c>
      <c r="B29" s="277" t="s">
        <v>33</v>
      </c>
      <c r="C29" s="278"/>
      <c r="D29" s="278"/>
      <c r="E29" s="278" t="s">
        <v>33</v>
      </c>
      <c r="F29" s="278"/>
      <c r="G29" s="278"/>
      <c r="H29" s="278" t="s">
        <v>34</v>
      </c>
      <c r="I29" s="278"/>
      <c r="J29" s="278"/>
      <c r="K29" s="278" t="s">
        <v>35</v>
      </c>
      <c r="L29" s="278"/>
      <c r="M29" s="278"/>
      <c r="N29" s="278" t="s">
        <v>35</v>
      </c>
      <c r="O29" s="278"/>
      <c r="P29" s="279"/>
      <c r="Q29" s="278" t="s">
        <v>35</v>
      </c>
      <c r="R29" s="278"/>
      <c r="S29" s="279"/>
      <c r="U29" s="46" t="s">
        <v>130</v>
      </c>
      <c r="V29" s="46" t="s">
        <v>131</v>
      </c>
      <c r="W29" s="46" t="s">
        <v>48</v>
      </c>
      <c r="X29" s="46" t="s">
        <v>50</v>
      </c>
      <c r="Y29" s="46" t="s">
        <v>132</v>
      </c>
      <c r="Z29" s="46" t="s">
        <v>133</v>
      </c>
      <c r="AA29" s="46" t="s">
        <v>134</v>
      </c>
    </row>
    <row r="30" spans="1:27" ht="15" x14ac:dyDescent="0.2">
      <c r="A30" s="275"/>
      <c r="B30" s="280" t="s">
        <v>151</v>
      </c>
      <c r="C30" s="281"/>
      <c r="D30" s="282"/>
      <c r="E30" s="283" t="s">
        <v>129</v>
      </c>
      <c r="F30" s="284"/>
      <c r="G30" s="284"/>
      <c r="H30" s="294" t="s">
        <v>43</v>
      </c>
      <c r="I30" s="295"/>
      <c r="J30" s="296"/>
      <c r="K30" s="283" t="s">
        <v>44</v>
      </c>
      <c r="L30" s="284"/>
      <c r="M30" s="285"/>
      <c r="N30" s="283" t="s">
        <v>45</v>
      </c>
      <c r="O30" s="284"/>
      <c r="P30" s="285"/>
      <c r="Q30" s="283" t="s">
        <v>152</v>
      </c>
      <c r="R30" s="284"/>
      <c r="S30" s="285"/>
      <c r="U30" s="1">
        <v>0</v>
      </c>
      <c r="V30" s="213">
        <f>H8</f>
        <v>23.190666635219031</v>
      </c>
      <c r="W30" s="213">
        <f>I8</f>
        <v>29.024404761904766</v>
      </c>
      <c r="X30" s="213">
        <f>K8</f>
        <v>31.926845238095243</v>
      </c>
      <c r="Y30" s="213">
        <f>M8</f>
        <v>35.119529761904772</v>
      </c>
      <c r="Z30" s="213">
        <f>N8</f>
        <v>38.631482738095251</v>
      </c>
      <c r="AA30" s="213">
        <f>O8</f>
        <v>42.494631011904779</v>
      </c>
    </row>
    <row r="31" spans="1:27" ht="15" thickBot="1" x14ac:dyDescent="0.25">
      <c r="A31" s="276"/>
      <c r="B31" s="65" t="s">
        <v>141</v>
      </c>
      <c r="C31" s="66" t="s">
        <v>142</v>
      </c>
      <c r="D31" s="70" t="s">
        <v>143</v>
      </c>
      <c r="E31" s="68" t="s">
        <v>141</v>
      </c>
      <c r="F31" s="68" t="s">
        <v>142</v>
      </c>
      <c r="G31" s="68" t="s">
        <v>143</v>
      </c>
      <c r="H31" s="65" t="s">
        <v>141</v>
      </c>
      <c r="I31" s="66" t="s">
        <v>142</v>
      </c>
      <c r="J31" s="70" t="s">
        <v>143</v>
      </c>
      <c r="K31" s="65" t="s">
        <v>141</v>
      </c>
      <c r="L31" s="66" t="s">
        <v>142</v>
      </c>
      <c r="M31" s="70" t="s">
        <v>143</v>
      </c>
      <c r="N31" s="65" t="s">
        <v>141</v>
      </c>
      <c r="O31" s="66" t="s">
        <v>142</v>
      </c>
      <c r="P31" s="70" t="s">
        <v>143</v>
      </c>
      <c r="Q31" s="65" t="s">
        <v>141</v>
      </c>
      <c r="R31" s="66" t="s">
        <v>142</v>
      </c>
      <c r="S31" s="70" t="s">
        <v>143</v>
      </c>
      <c r="U31" s="1">
        <v>1</v>
      </c>
      <c r="V31" s="213">
        <f t="shared" ref="V31:V50" si="15">V30*1.025</f>
        <v>23.770433301099505</v>
      </c>
      <c r="W31" s="213">
        <f t="shared" ref="W31:W50" si="16">W30*1.025</f>
        <v>29.750014880952381</v>
      </c>
      <c r="X31" s="213">
        <f t="shared" ref="X31:X50" si="17">X30*1.025</f>
        <v>32.725016369047623</v>
      </c>
      <c r="Y31" s="213">
        <f t="shared" ref="Y31:Y50" si="18">Y30*1.025</f>
        <v>35.997518005952386</v>
      </c>
      <c r="Z31" s="213">
        <f t="shared" ref="Z31:Z50" si="19">Z30*1.025</f>
        <v>39.597269806547629</v>
      </c>
      <c r="AA31" s="213">
        <f t="shared" ref="AA31:AA50" si="20">AA30*1.025</f>
        <v>43.556996787202394</v>
      </c>
    </row>
    <row r="32" spans="1:27" x14ac:dyDescent="0.2">
      <c r="A32" s="72" t="s">
        <v>144</v>
      </c>
      <c r="B32" s="73">
        <f>F8</f>
        <v>23.190666635219031</v>
      </c>
      <c r="C32" s="73">
        <f>MEDIAN(B32,D32)</f>
        <v>24.082239061093347</v>
      </c>
      <c r="D32" s="75">
        <f>B32*((1.025)^3)</f>
        <v>24.973811486967666</v>
      </c>
      <c r="E32" s="73">
        <f>I8</f>
        <v>29.024404761904766</v>
      </c>
      <c r="F32" s="73">
        <f>MEDIAN(E32,G32)</f>
        <v>30.140257073102681</v>
      </c>
      <c r="G32" s="73">
        <f>E32*((1.025)^3)</f>
        <v>31.256109384300597</v>
      </c>
      <c r="H32" s="74">
        <f>K8</f>
        <v>31.926845238095243</v>
      </c>
      <c r="I32" s="73">
        <f>MEDIAN(H32,J32)</f>
        <v>33.154282780412949</v>
      </c>
      <c r="J32" s="75">
        <f>H32*((1.025)^3)</f>
        <v>34.381720322730658</v>
      </c>
      <c r="K32" s="74">
        <f>M8</f>
        <v>35.119529761904772</v>
      </c>
      <c r="L32" s="73">
        <f>MEDIAN(K32,M32)</f>
        <v>36.469711058454251</v>
      </c>
      <c r="M32" s="75">
        <f>K32*((1.025)^3)</f>
        <v>37.819892355003724</v>
      </c>
      <c r="N32" s="74">
        <f>N8</f>
        <v>38.631482738095251</v>
      </c>
      <c r="O32" s="73">
        <f>MEDIAN(N32,P32)</f>
        <v>40.116682164299675</v>
      </c>
      <c r="P32" s="75">
        <f>N32*((1.025)^3)</f>
        <v>41.6018815905041</v>
      </c>
      <c r="Q32" s="74">
        <f>O8</f>
        <v>42.494631011904779</v>
      </c>
      <c r="R32" s="73">
        <f>MEDIAN(Q32,S32)</f>
        <v>44.128350380729643</v>
      </c>
      <c r="S32" s="75">
        <f>Q32*((1.025)^3)</f>
        <v>45.762069749554513</v>
      </c>
      <c r="U32" s="1">
        <v>2</v>
      </c>
      <c r="V32" s="213">
        <f t="shared" si="15"/>
        <v>24.36469413362699</v>
      </c>
      <c r="W32" s="213">
        <f t="shared" si="16"/>
        <v>30.493765252976189</v>
      </c>
      <c r="X32" s="213">
        <f t="shared" si="17"/>
        <v>33.543141778273814</v>
      </c>
      <c r="Y32" s="213">
        <f t="shared" si="18"/>
        <v>36.89745595610119</v>
      </c>
      <c r="Z32" s="213">
        <f t="shared" si="19"/>
        <v>40.587201551711317</v>
      </c>
      <c r="AA32" s="213">
        <f t="shared" si="20"/>
        <v>44.645921706882447</v>
      </c>
    </row>
    <row r="33" spans="1:27" x14ac:dyDescent="0.2">
      <c r="A33" s="76" t="s">
        <v>145</v>
      </c>
      <c r="B33" s="73">
        <f>B32*((1.025)^4)</f>
        <v>25.598156774141856</v>
      </c>
      <c r="C33" s="73">
        <f t="shared" ref="C33:C37" si="21">MEDIAN(B33,D33)</f>
        <v>26.246110117487319</v>
      </c>
      <c r="D33" s="75">
        <f>B32*((1.025)^6)</f>
        <v>26.894063460832783</v>
      </c>
      <c r="E33" s="73">
        <f>E32*((1.025)^4)</f>
        <v>32.037512118908104</v>
      </c>
      <c r="F33" s="73">
        <f t="shared" ref="F33:F37" si="22">MEDIAN(E33,G33)</f>
        <v>32.848461644417966</v>
      </c>
      <c r="G33" s="73">
        <f>E32*((1.025)^6)</f>
        <v>33.659411169927822</v>
      </c>
      <c r="H33" s="74">
        <f>H32*((1.025)^4)</f>
        <v>35.241263330798922</v>
      </c>
      <c r="I33" s="73">
        <f t="shared" ref="I33:I37" si="23">MEDIAN(H33,J33)</f>
        <v>36.133307808859769</v>
      </c>
      <c r="J33" s="75">
        <f>H32*((1.025)^6)</f>
        <v>37.025352286920608</v>
      </c>
      <c r="K33" s="74">
        <f>K32*((1.025)^4)</f>
        <v>38.765389663878814</v>
      </c>
      <c r="L33" s="73">
        <f t="shared" ref="L33:L37" si="24">MEDIAN(K33,M33)</f>
        <v>39.746638589745743</v>
      </c>
      <c r="M33" s="75">
        <f>K32*((1.025)^6)</f>
        <v>40.727887515612672</v>
      </c>
      <c r="N33" s="74">
        <f>N32*((1.025)^4)</f>
        <v>42.641928630266698</v>
      </c>
      <c r="O33" s="73">
        <f t="shared" ref="O33:O37" si="25">MEDIAN(N33,P33)</f>
        <v>43.721302448720323</v>
      </c>
      <c r="P33" s="75">
        <f>N32*((1.025)^6)</f>
        <v>44.800676267173941</v>
      </c>
      <c r="Q33" s="74">
        <f>Q32*((1.025)^4)</f>
        <v>46.906121493293377</v>
      </c>
      <c r="R33" s="73">
        <f t="shared" ref="R33:R37" si="26">MEDIAN(Q33,S33)</f>
        <v>48.093432693592362</v>
      </c>
      <c r="S33" s="75">
        <f>Q32*((1.025)^6)</f>
        <v>49.280743893891341</v>
      </c>
      <c r="U33" s="1">
        <v>3</v>
      </c>
      <c r="V33" s="213">
        <f t="shared" si="15"/>
        <v>24.973811486967662</v>
      </c>
      <c r="W33" s="213">
        <f t="shared" si="16"/>
        <v>31.25610938430059</v>
      </c>
      <c r="X33" s="213">
        <f t="shared" si="17"/>
        <v>34.381720322730658</v>
      </c>
      <c r="Y33" s="213">
        <f t="shared" si="18"/>
        <v>37.819892355003716</v>
      </c>
      <c r="Z33" s="213">
        <f t="shared" si="19"/>
        <v>41.6018815905041</v>
      </c>
      <c r="AA33" s="213">
        <f t="shared" si="20"/>
        <v>45.762069749554506</v>
      </c>
    </row>
    <row r="34" spans="1:27" x14ac:dyDescent="0.2">
      <c r="A34" s="76" t="s">
        <v>146</v>
      </c>
      <c r="B34" s="73">
        <f>B32*((1.025)^7)</f>
        <v>27.566415047353605</v>
      </c>
      <c r="C34" s="73">
        <f t="shared" si="21"/>
        <v>28.264189928239738</v>
      </c>
      <c r="D34" s="75">
        <f>B32*((1.025)^9)</f>
        <v>28.961964809125874</v>
      </c>
      <c r="E34" s="73">
        <f>E32*((1.025)^7)</f>
        <v>34.500896449176025</v>
      </c>
      <c r="F34" s="73">
        <f t="shared" si="22"/>
        <v>35.374200390545788</v>
      </c>
      <c r="G34" s="73">
        <f>E32*((1.025)^9)</f>
        <v>36.24750433191555</v>
      </c>
      <c r="H34" s="74">
        <f>H32*((1.025)^7)</f>
        <v>37.950986094093622</v>
      </c>
      <c r="I34" s="73">
        <f t="shared" si="23"/>
        <v>38.911620429600362</v>
      </c>
      <c r="J34" s="75">
        <f>H32*((1.025)^9)</f>
        <v>39.872254765107108</v>
      </c>
      <c r="K34" s="74">
        <f>K32*((1.025)^7)</f>
        <v>41.746084703502994</v>
      </c>
      <c r="L34" s="73">
        <f t="shared" si="24"/>
        <v>42.802782472560409</v>
      </c>
      <c r="M34" s="75">
        <f>K32*((1.025)^9)</f>
        <v>43.859480241617824</v>
      </c>
      <c r="N34" s="74">
        <f>N32*((1.025)^7)</f>
        <v>45.920693173853294</v>
      </c>
      <c r="O34" s="73">
        <f t="shared" si="25"/>
        <v>47.083060719816451</v>
      </c>
      <c r="P34" s="75">
        <f>N32*((1.025)^9)</f>
        <v>48.245428265779609</v>
      </c>
      <c r="Q34" s="74">
        <f>Q32*((1.025)^7)</f>
        <v>50.512762491238625</v>
      </c>
      <c r="R34" s="73">
        <f t="shared" si="26"/>
        <v>51.791366791798097</v>
      </c>
      <c r="S34" s="75">
        <f>Q32*((1.025)^9)</f>
        <v>53.069971092357569</v>
      </c>
      <c r="U34" s="1">
        <v>4</v>
      </c>
      <c r="V34" s="213">
        <f t="shared" si="15"/>
        <v>25.598156774141852</v>
      </c>
      <c r="W34" s="213">
        <f t="shared" si="16"/>
        <v>32.037512118908104</v>
      </c>
      <c r="X34" s="213">
        <f t="shared" si="17"/>
        <v>35.241263330798922</v>
      </c>
      <c r="Y34" s="213">
        <f t="shared" si="18"/>
        <v>38.765389663878807</v>
      </c>
      <c r="Z34" s="213">
        <f t="shared" si="19"/>
        <v>42.641928630266698</v>
      </c>
      <c r="AA34" s="213">
        <f t="shared" si="20"/>
        <v>46.906121493293362</v>
      </c>
    </row>
    <row r="35" spans="1:27" x14ac:dyDescent="0.2">
      <c r="A35" s="76" t="s">
        <v>147</v>
      </c>
      <c r="B35" s="73">
        <f>B32*((1.025)^10)</f>
        <v>29.686013929354019</v>
      </c>
      <c r="C35" s="73">
        <f t="shared" si="21"/>
        <v>30.437441156940793</v>
      </c>
      <c r="D35" s="75">
        <f>B32*((1.025)^12)</f>
        <v>31.188868384527563</v>
      </c>
      <c r="E35" s="73">
        <f>E32*((1.025)^10)</f>
        <v>37.153691940213442</v>
      </c>
      <c r="F35" s="73">
        <f t="shared" si="22"/>
        <v>38.094144767450089</v>
      </c>
      <c r="G35" s="73">
        <f>E32*((1.025)^12)</f>
        <v>39.034597594686737</v>
      </c>
      <c r="H35" s="74">
        <f>H32*((1.025)^10)</f>
        <v>40.869061134234784</v>
      </c>
      <c r="I35" s="73">
        <f t="shared" si="23"/>
        <v>41.903559244195094</v>
      </c>
      <c r="J35" s="75">
        <f>H32*((1.025)^12)</f>
        <v>42.938057354155411</v>
      </c>
      <c r="K35" s="74">
        <f>K32*((1.025)^10)</f>
        <v>44.955967247658265</v>
      </c>
      <c r="L35" s="73">
        <f t="shared" si="24"/>
        <v>46.093915168614615</v>
      </c>
      <c r="M35" s="75">
        <f>K32*((1.025)^12)</f>
        <v>47.231863089570965</v>
      </c>
      <c r="N35" s="74">
        <f>N32*((1.025)^10)</f>
        <v>49.451563972424097</v>
      </c>
      <c r="O35" s="73">
        <f t="shared" si="25"/>
        <v>50.703306685476079</v>
      </c>
      <c r="P35" s="75">
        <f>N32*((1.025)^12)</f>
        <v>51.955049398528061</v>
      </c>
      <c r="Q35" s="74">
        <f>Q32*((1.025)^10)</f>
        <v>54.396720369666511</v>
      </c>
      <c r="R35" s="73">
        <f t="shared" si="26"/>
        <v>55.773637354023691</v>
      </c>
      <c r="S35" s="75">
        <f>Q32*((1.025)^12)</f>
        <v>57.150554338380871</v>
      </c>
      <c r="U35" s="1">
        <v>5</v>
      </c>
      <c r="V35" s="213">
        <f t="shared" si="15"/>
        <v>26.238110693495397</v>
      </c>
      <c r="W35" s="213">
        <f t="shared" si="16"/>
        <v>32.838449921880802</v>
      </c>
      <c r="X35" s="213">
        <f t="shared" si="17"/>
        <v>36.122294914068895</v>
      </c>
      <c r="Y35" s="213">
        <f t="shared" si="18"/>
        <v>39.734524405475774</v>
      </c>
      <c r="Z35" s="213">
        <f t="shared" si="19"/>
        <v>43.707976846023364</v>
      </c>
      <c r="AA35" s="213">
        <f t="shared" si="20"/>
        <v>48.078774530625694</v>
      </c>
    </row>
    <row r="36" spans="1:27" x14ac:dyDescent="0.2">
      <c r="A36" s="76" t="s">
        <v>148</v>
      </c>
      <c r="B36" s="73">
        <f>B32*((1.025)^13)</f>
        <v>31.968590094140751</v>
      </c>
      <c r="C36" s="73">
        <f t="shared" si="21"/>
        <v>32.777795030898687</v>
      </c>
      <c r="D36" s="73">
        <f>B32*((1.025)^15)</f>
        <v>33.586999967656631</v>
      </c>
      <c r="E36" s="74">
        <f>E32*((1.025)^13)</f>
        <v>40.010462534553909</v>
      </c>
      <c r="F36" s="73">
        <f t="shared" si="22"/>
        <v>41.023227367459803</v>
      </c>
      <c r="G36" s="75">
        <f>E32*((1.025)^15)</f>
        <v>42.035992200365698</v>
      </c>
      <c r="H36" s="73">
        <f>H32*((1.025)^13)</f>
        <v>44.011508788009301</v>
      </c>
      <c r="I36" s="73">
        <f t="shared" si="23"/>
        <v>45.125550104205786</v>
      </c>
      <c r="J36" s="75">
        <f>H32*((1.025)^15)</f>
        <v>46.23959142040227</v>
      </c>
      <c r="K36" s="74">
        <f>K32*((1.025)^13)</f>
        <v>48.412659666810235</v>
      </c>
      <c r="L36" s="73">
        <f t="shared" si="24"/>
        <v>49.63810511462637</v>
      </c>
      <c r="M36" s="75">
        <f>K32*((1.025)^15)</f>
        <v>50.863550562442505</v>
      </c>
      <c r="N36" s="74">
        <f>N32*((1.025)^13)</f>
        <v>53.253925633491257</v>
      </c>
      <c r="O36" s="73">
        <f t="shared" si="25"/>
        <v>54.60191562608901</v>
      </c>
      <c r="P36" s="75">
        <f>N32*((1.025)^15)</f>
        <v>55.949905618686756</v>
      </c>
      <c r="Q36" s="74">
        <f>Q32*((1.025)^13)</f>
        <v>58.57931819684039</v>
      </c>
      <c r="R36" s="73">
        <f t="shared" si="26"/>
        <v>60.062107188697915</v>
      </c>
      <c r="S36" s="75">
        <f>Q32*((1.025)^15)</f>
        <v>61.54489618055544</v>
      </c>
      <c r="T36" s="46"/>
      <c r="U36" s="1">
        <v>6</v>
      </c>
      <c r="V36" s="213">
        <f t="shared" si="15"/>
        <v>26.894063460832779</v>
      </c>
      <c r="W36" s="213">
        <f t="shared" si="16"/>
        <v>33.659411169927822</v>
      </c>
      <c r="X36" s="213">
        <f t="shared" si="17"/>
        <v>37.025352286920615</v>
      </c>
      <c r="Y36" s="213">
        <f t="shared" si="18"/>
        <v>40.727887515612665</v>
      </c>
      <c r="Z36" s="213">
        <f t="shared" si="19"/>
        <v>44.800676267173941</v>
      </c>
      <c r="AA36" s="213">
        <f t="shared" si="20"/>
        <v>49.280743893891334</v>
      </c>
    </row>
    <row r="37" spans="1:27" x14ac:dyDescent="0.2">
      <c r="A37" s="77" t="s">
        <v>149</v>
      </c>
      <c r="B37" s="78">
        <f>B32*((1.025)^16)</f>
        <v>34.42667496684804</v>
      </c>
      <c r="C37" s="78">
        <f t="shared" si="21"/>
        <v>36.213641288305951</v>
      </c>
      <c r="D37" s="78">
        <f>B32*((1.025)^20)</f>
        <v>38.000607609763854</v>
      </c>
      <c r="E37" s="79">
        <f>E32*((1.025)^16)</f>
        <v>43.086892005374835</v>
      </c>
      <c r="F37" s="78">
        <f t="shared" si="22"/>
        <v>45.323379408937413</v>
      </c>
      <c r="G37" s="80">
        <f>E32*((1.025)^20)</f>
        <v>47.55986681249999</v>
      </c>
      <c r="H37" s="79">
        <f>H32*((1.025)^16)</f>
        <v>47.395581205912322</v>
      </c>
      <c r="I37" s="78">
        <f t="shared" si="23"/>
        <v>49.855717349831153</v>
      </c>
      <c r="J37" s="80">
        <f>H32*((1.025)^20)</f>
        <v>52.315853493749991</v>
      </c>
      <c r="K37" s="78">
        <f>K32*((1.025)^16)</f>
        <v>52.135139326503563</v>
      </c>
      <c r="L37" s="78">
        <f t="shared" si="24"/>
        <v>54.841289084814278</v>
      </c>
      <c r="M37" s="80">
        <f>K32*((1.025)^20)</f>
        <v>57.547438843125001</v>
      </c>
      <c r="N37" s="78">
        <f>N32*((1.025)^16)</f>
        <v>57.34865325915392</v>
      </c>
      <c r="O37" s="78">
        <f t="shared" si="25"/>
        <v>60.325417993295716</v>
      </c>
      <c r="P37" s="78">
        <f>N32*((1.025)^20)</f>
        <v>63.302182727437504</v>
      </c>
      <c r="Q37" s="79">
        <f>Q32*((1.025)^16)</f>
        <v>63.083518585069321</v>
      </c>
      <c r="R37" s="78">
        <f t="shared" si="26"/>
        <v>66.357959792625294</v>
      </c>
      <c r="S37" s="80">
        <f>Q32*((1.025)^20)</f>
        <v>69.632401000181261</v>
      </c>
      <c r="U37" s="1">
        <v>7</v>
      </c>
      <c r="V37" s="213">
        <f t="shared" si="15"/>
        <v>27.566415047353598</v>
      </c>
      <c r="W37" s="213">
        <f t="shared" si="16"/>
        <v>34.500896449176011</v>
      </c>
      <c r="X37" s="213">
        <f t="shared" si="17"/>
        <v>37.950986094093629</v>
      </c>
      <c r="Y37" s="213">
        <f t="shared" si="18"/>
        <v>41.74608470350298</v>
      </c>
      <c r="Z37" s="213">
        <f t="shared" si="19"/>
        <v>45.920693173853287</v>
      </c>
      <c r="AA37" s="213">
        <f t="shared" si="20"/>
        <v>50.512762491238611</v>
      </c>
    </row>
    <row r="38" spans="1:27" ht="15" x14ac:dyDescent="0.25">
      <c r="A38" s="44"/>
      <c r="B38" s="36"/>
      <c r="C38" s="46"/>
      <c r="D38" s="36"/>
      <c r="E38" s="81"/>
      <c r="F38" s="81"/>
      <c r="G38" s="81"/>
      <c r="H38" s="81"/>
      <c r="I38" s="73"/>
      <c r="J38" s="73"/>
      <c r="M38" s="40"/>
      <c r="P38" s="1"/>
      <c r="U38" s="1">
        <v>8</v>
      </c>
      <c r="V38" s="213">
        <f t="shared" si="15"/>
        <v>28.255575423537437</v>
      </c>
      <c r="W38" s="213">
        <f t="shared" si="16"/>
        <v>35.36341886040541</v>
      </c>
      <c r="X38" s="213">
        <f t="shared" si="17"/>
        <v>38.899760746445963</v>
      </c>
      <c r="Y38" s="213">
        <f t="shared" si="18"/>
        <v>42.78973682109055</v>
      </c>
      <c r="Z38" s="213">
        <f t="shared" si="19"/>
        <v>47.068710503199618</v>
      </c>
      <c r="AA38" s="213">
        <f t="shared" si="20"/>
        <v>51.775581553519572</v>
      </c>
    </row>
    <row r="39" spans="1:27" x14ac:dyDescent="0.2">
      <c r="O39" s="40"/>
      <c r="P39" s="1"/>
      <c r="U39" s="1">
        <v>9</v>
      </c>
      <c r="V39" s="213">
        <f t="shared" si="15"/>
        <v>28.96196480912587</v>
      </c>
      <c r="W39" s="213">
        <f t="shared" si="16"/>
        <v>36.247504331915543</v>
      </c>
      <c r="X39" s="213">
        <f t="shared" si="17"/>
        <v>39.872254765107108</v>
      </c>
      <c r="Y39" s="213">
        <f t="shared" si="18"/>
        <v>43.85948024161781</v>
      </c>
      <c r="Z39" s="213">
        <f t="shared" si="19"/>
        <v>48.245428265779601</v>
      </c>
      <c r="AA39" s="213">
        <f t="shared" si="20"/>
        <v>53.069971092357555</v>
      </c>
    </row>
    <row r="40" spans="1:27" x14ac:dyDescent="0.2">
      <c r="U40" s="1">
        <v>10</v>
      </c>
      <c r="V40" s="213">
        <f t="shared" si="15"/>
        <v>29.686013929354015</v>
      </c>
      <c r="W40" s="213">
        <f t="shared" si="16"/>
        <v>37.153691940213427</v>
      </c>
      <c r="X40" s="213">
        <f t="shared" si="17"/>
        <v>40.869061134234784</v>
      </c>
      <c r="Y40" s="213">
        <f t="shared" si="18"/>
        <v>44.955967247658251</v>
      </c>
      <c r="Z40" s="213">
        <f t="shared" si="19"/>
        <v>49.45156397242409</v>
      </c>
      <c r="AA40" s="213">
        <f t="shared" si="20"/>
        <v>54.39672036966649</v>
      </c>
    </row>
    <row r="41" spans="1:27" x14ac:dyDescent="0.2">
      <c r="U41" s="1">
        <v>11</v>
      </c>
      <c r="V41" s="213">
        <f t="shared" si="15"/>
        <v>30.428164277587864</v>
      </c>
      <c r="W41" s="213">
        <f t="shared" si="16"/>
        <v>38.082534238718758</v>
      </c>
      <c r="X41" s="213">
        <f t="shared" si="17"/>
        <v>41.890787662590647</v>
      </c>
      <c r="Y41" s="213">
        <f t="shared" si="18"/>
        <v>46.079866428849705</v>
      </c>
      <c r="Z41" s="213">
        <f t="shared" si="19"/>
        <v>50.687853071734686</v>
      </c>
      <c r="AA41" s="213">
        <f t="shared" si="20"/>
        <v>55.75663837890815</v>
      </c>
    </row>
    <row r="42" spans="1:27" x14ac:dyDescent="0.2">
      <c r="D42" s="83"/>
      <c r="U42" s="1">
        <v>12</v>
      </c>
      <c r="V42" s="213">
        <f t="shared" si="15"/>
        <v>31.188868384527559</v>
      </c>
      <c r="W42" s="213">
        <f t="shared" si="16"/>
        <v>39.034597594686723</v>
      </c>
      <c r="X42" s="213">
        <f t="shared" si="17"/>
        <v>42.938057354155411</v>
      </c>
      <c r="Y42" s="213">
        <f t="shared" si="18"/>
        <v>47.231863089570943</v>
      </c>
      <c r="Z42" s="213">
        <f t="shared" si="19"/>
        <v>51.955049398528047</v>
      </c>
      <c r="AA42" s="213">
        <f t="shared" si="20"/>
        <v>57.15055433838085</v>
      </c>
    </row>
    <row r="43" spans="1:27" x14ac:dyDescent="0.2">
      <c r="D43" s="83"/>
      <c r="G43" s="35"/>
      <c r="U43" s="1">
        <v>13</v>
      </c>
      <c r="V43" s="213">
        <f t="shared" si="15"/>
        <v>31.968590094140744</v>
      </c>
      <c r="W43" s="213">
        <f t="shared" si="16"/>
        <v>40.010462534553888</v>
      </c>
      <c r="X43" s="213">
        <f t="shared" si="17"/>
        <v>44.011508788009294</v>
      </c>
      <c r="Y43" s="213">
        <f t="shared" si="18"/>
        <v>48.412659666810214</v>
      </c>
      <c r="Z43" s="213">
        <f t="shared" si="19"/>
        <v>53.253925633491242</v>
      </c>
      <c r="AA43" s="213">
        <f t="shared" si="20"/>
        <v>58.579318196840369</v>
      </c>
    </row>
    <row r="44" spans="1:27" x14ac:dyDescent="0.2">
      <c r="D44" s="83"/>
      <c r="U44" s="1">
        <v>14</v>
      </c>
      <c r="V44" s="213">
        <f t="shared" si="15"/>
        <v>32.767804846494258</v>
      </c>
      <c r="W44" s="213">
        <f t="shared" si="16"/>
        <v>41.010724097917731</v>
      </c>
      <c r="X44" s="213">
        <f t="shared" si="17"/>
        <v>45.111796507709521</v>
      </c>
      <c r="Y44" s="213">
        <f t="shared" si="18"/>
        <v>49.622976158480462</v>
      </c>
      <c r="Z44" s="213">
        <f t="shared" si="19"/>
        <v>54.58527377432852</v>
      </c>
      <c r="AA44" s="213">
        <f t="shared" si="20"/>
        <v>60.043801151761372</v>
      </c>
    </row>
    <row r="45" spans="1:27" x14ac:dyDescent="0.2">
      <c r="U45" s="1">
        <v>15</v>
      </c>
      <c r="V45" s="213">
        <f t="shared" si="15"/>
        <v>33.58699996765661</v>
      </c>
      <c r="W45" s="213">
        <f t="shared" si="16"/>
        <v>42.035992200365669</v>
      </c>
      <c r="X45" s="213">
        <f t="shared" si="17"/>
        <v>46.239591420402256</v>
      </c>
      <c r="Y45" s="213">
        <f t="shared" si="18"/>
        <v>50.86355056244247</v>
      </c>
      <c r="Z45" s="213">
        <f t="shared" si="19"/>
        <v>55.949905618686728</v>
      </c>
      <c r="AA45" s="213">
        <f t="shared" si="20"/>
        <v>61.544896180555398</v>
      </c>
    </row>
    <row r="46" spans="1:27" x14ac:dyDescent="0.2">
      <c r="U46" s="1">
        <v>16</v>
      </c>
      <c r="V46" s="213">
        <f t="shared" si="15"/>
        <v>34.426674966848019</v>
      </c>
      <c r="W46" s="213">
        <f t="shared" si="16"/>
        <v>43.086892005374807</v>
      </c>
      <c r="X46" s="213">
        <f t="shared" si="17"/>
        <v>47.395581205912308</v>
      </c>
      <c r="Y46" s="213">
        <f t="shared" si="18"/>
        <v>52.135139326503527</v>
      </c>
      <c r="Z46" s="213">
        <f t="shared" si="19"/>
        <v>57.348653259153892</v>
      </c>
      <c r="AA46" s="213">
        <f t="shared" si="20"/>
        <v>63.083518585069278</v>
      </c>
    </row>
    <row r="47" spans="1:27" x14ac:dyDescent="0.2">
      <c r="U47" s="1">
        <v>17</v>
      </c>
      <c r="V47" s="213">
        <f t="shared" si="15"/>
        <v>35.287341841019213</v>
      </c>
      <c r="W47" s="213">
        <f t="shared" si="16"/>
        <v>44.164064305509172</v>
      </c>
      <c r="X47" s="213">
        <f t="shared" si="17"/>
        <v>48.580470736060114</v>
      </c>
      <c r="Y47" s="213">
        <f t="shared" si="18"/>
        <v>53.438517809666109</v>
      </c>
      <c r="Z47" s="213">
        <f t="shared" si="19"/>
        <v>58.782369590632733</v>
      </c>
      <c r="AA47" s="213">
        <f t="shared" si="20"/>
        <v>64.660606549695999</v>
      </c>
    </row>
    <row r="48" spans="1:27" x14ac:dyDescent="0.2">
      <c r="U48" s="1">
        <v>18</v>
      </c>
      <c r="V48" s="213">
        <f t="shared" si="15"/>
        <v>36.169525387044693</v>
      </c>
      <c r="W48" s="213">
        <f t="shared" si="16"/>
        <v>45.268165913146895</v>
      </c>
      <c r="X48" s="213">
        <f t="shared" si="17"/>
        <v>49.794982504461615</v>
      </c>
      <c r="Y48" s="213">
        <f t="shared" si="18"/>
        <v>54.774480754907756</v>
      </c>
      <c r="Z48" s="213">
        <f t="shared" si="19"/>
        <v>60.251928830398548</v>
      </c>
      <c r="AA48" s="213">
        <f t="shared" si="20"/>
        <v>66.27712171343839</v>
      </c>
    </row>
    <row r="49" spans="1:27" x14ac:dyDescent="0.2">
      <c r="U49" s="1">
        <v>19</v>
      </c>
      <c r="V49" s="213">
        <f t="shared" si="15"/>
        <v>37.073763521720807</v>
      </c>
      <c r="W49" s="213">
        <f t="shared" si="16"/>
        <v>46.399870060975566</v>
      </c>
      <c r="X49" s="213">
        <f t="shared" si="17"/>
        <v>51.03985706707315</v>
      </c>
      <c r="Y49" s="213">
        <f t="shared" si="18"/>
        <v>56.143842773780449</v>
      </c>
      <c r="Z49" s="213">
        <f t="shared" si="19"/>
        <v>61.758227051158507</v>
      </c>
      <c r="AA49" s="213">
        <f t="shared" si="20"/>
        <v>67.934049756274348</v>
      </c>
    </row>
    <row r="50" spans="1:27" x14ac:dyDescent="0.2">
      <c r="U50" s="1">
        <v>20</v>
      </c>
      <c r="V50" s="213">
        <f t="shared" si="15"/>
        <v>38.000607609763826</v>
      </c>
      <c r="W50" s="213">
        <f t="shared" si="16"/>
        <v>47.559866812499948</v>
      </c>
      <c r="X50" s="213">
        <f t="shared" si="17"/>
        <v>52.315853493749977</v>
      </c>
      <c r="Y50" s="213">
        <f t="shared" si="18"/>
        <v>57.547438843124958</v>
      </c>
      <c r="Z50" s="213">
        <f t="shared" si="19"/>
        <v>63.302182727437462</v>
      </c>
      <c r="AA50" s="213">
        <f t="shared" si="20"/>
        <v>69.632401000181204</v>
      </c>
    </row>
    <row r="53" spans="1:27" x14ac:dyDescent="0.2">
      <c r="A53" s="158"/>
      <c r="B53" s="158"/>
      <c r="H53" s="158"/>
    </row>
    <row r="54" spans="1:27" x14ac:dyDescent="0.2">
      <c r="B54" s="158"/>
      <c r="H54" s="158"/>
    </row>
    <row r="55" spans="1:27" x14ac:dyDescent="0.2">
      <c r="B55" s="158"/>
      <c r="H55" s="158"/>
    </row>
    <row r="56" spans="1:27" x14ac:dyDescent="0.2">
      <c r="B56" s="158"/>
      <c r="H56" s="158"/>
    </row>
  </sheetData>
  <mergeCells count="47">
    <mergeCell ref="H30:J30"/>
    <mergeCell ref="I3:J3"/>
    <mergeCell ref="I4:J4"/>
    <mergeCell ref="H15:J15"/>
    <mergeCell ref="O4:O5"/>
    <mergeCell ref="A9:H9"/>
    <mergeCell ref="H4:H5"/>
    <mergeCell ref="H16:J16"/>
    <mergeCell ref="H29:J29"/>
    <mergeCell ref="F4:F5"/>
    <mergeCell ref="G4:G5"/>
    <mergeCell ref="M4:M5"/>
    <mergeCell ref="N4:N5"/>
    <mergeCell ref="K3:L3"/>
    <mergeCell ref="K4:L4"/>
    <mergeCell ref="A1:R1"/>
    <mergeCell ref="K15:M15"/>
    <mergeCell ref="K16:M16"/>
    <mergeCell ref="N15:P15"/>
    <mergeCell ref="N16:P16"/>
    <mergeCell ref="A15:A17"/>
    <mergeCell ref="Q15:S15"/>
    <mergeCell ref="Q16:S16"/>
    <mergeCell ref="E16:G16"/>
    <mergeCell ref="B3:C3"/>
    <mergeCell ref="D3:E3"/>
    <mergeCell ref="B15:D15"/>
    <mergeCell ref="B16:D16"/>
    <mergeCell ref="E15:G15"/>
    <mergeCell ref="A3:A5"/>
    <mergeCell ref="B4:B5"/>
    <mergeCell ref="W3:AB3"/>
    <mergeCell ref="A29:A31"/>
    <mergeCell ref="B29:D29"/>
    <mergeCell ref="E29:G29"/>
    <mergeCell ref="K29:M29"/>
    <mergeCell ref="N29:P29"/>
    <mergeCell ref="Q29:S29"/>
    <mergeCell ref="B30:D30"/>
    <mergeCell ref="E30:G30"/>
    <mergeCell ref="K30:M30"/>
    <mergeCell ref="N30:P30"/>
    <mergeCell ref="Q30:S30"/>
    <mergeCell ref="A7:H7"/>
    <mergeCell ref="C4:C5"/>
    <mergeCell ref="D4:D5"/>
    <mergeCell ref="E4:E5"/>
  </mergeCells>
  <pageMargins left="0.7" right="0.7" top="0.75" bottom="0.75" header="0.3" footer="0.3"/>
  <pageSetup orientation="portrait" r:id="rId1"/>
  <ignoredErrors>
    <ignoredError sqref="L7:L8"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72218-FE12-4419-AC95-58B24EF56481}">
  <sheetPr>
    <tabColor rgb="FFA2AE74"/>
  </sheetPr>
  <dimension ref="A1:AH12"/>
  <sheetViews>
    <sheetView zoomScaleNormal="100" workbookViewId="0">
      <selection activeCell="F6" sqref="F6:F12"/>
    </sheetView>
  </sheetViews>
  <sheetFormatPr defaultRowHeight="15" x14ac:dyDescent="0.25"/>
  <cols>
    <col min="1" max="1" width="28.28515625" customWidth="1"/>
    <col min="2" max="2" width="8.42578125" customWidth="1"/>
    <col min="3" max="3" width="12.85546875" customWidth="1"/>
    <col min="4" max="4" width="2.42578125" style="12" customWidth="1"/>
    <col min="5" max="5" width="30.85546875" bestFit="1" customWidth="1"/>
    <col min="6" max="6" width="8.140625" bestFit="1" customWidth="1"/>
    <col min="7" max="7" width="13.28515625" customWidth="1"/>
    <col min="8" max="8" width="2.85546875" customWidth="1"/>
    <col min="9" max="9" width="37.140625" bestFit="1" customWidth="1"/>
    <col min="10" max="10" width="9.28515625" bestFit="1" customWidth="1"/>
    <col min="11" max="11" width="13.28515625" customWidth="1"/>
    <col min="12" max="12" width="2.28515625" customWidth="1"/>
    <col min="13" max="13" width="9.140625" bestFit="1" customWidth="1"/>
    <col min="14" max="14" width="7.28515625" bestFit="1" customWidth="1"/>
    <col min="15" max="15" width="13" style="10" customWidth="1"/>
    <col min="16" max="17" width="6.5703125" bestFit="1" customWidth="1"/>
    <col min="18" max="18" width="9.140625" bestFit="1" customWidth="1"/>
    <col min="19" max="19" width="6.5703125" bestFit="1" customWidth="1"/>
    <col min="23" max="23" width="6.85546875" bestFit="1" customWidth="1"/>
    <col min="24" max="24" width="6.85546875" customWidth="1"/>
    <col min="25" max="25" width="7.42578125" bestFit="1" customWidth="1"/>
    <col min="30" max="30" width="10.140625" bestFit="1" customWidth="1"/>
    <col min="33" max="33" width="33.5703125" customWidth="1"/>
    <col min="34" max="34" width="2.85546875" style="11" customWidth="1"/>
  </cols>
  <sheetData>
    <row r="1" spans="1:26" ht="23.25" x14ac:dyDescent="0.35">
      <c r="A1" s="262" t="s">
        <v>153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3" spans="1:26" ht="20.25" x14ac:dyDescent="0.3">
      <c r="A3" s="172"/>
      <c r="B3" s="172"/>
      <c r="C3" s="172"/>
      <c r="D3" s="172"/>
      <c r="E3" s="172"/>
      <c r="F3" s="172"/>
      <c r="G3" s="172"/>
      <c r="H3" s="172"/>
      <c r="I3" s="172"/>
      <c r="J3" s="172"/>
      <c r="K3" s="172"/>
      <c r="L3" s="172"/>
      <c r="M3" s="172"/>
      <c r="N3" s="172"/>
      <c r="O3" s="172"/>
    </row>
    <row r="4" spans="1:26" ht="15.75" x14ac:dyDescent="0.25">
      <c r="A4" s="314" t="s">
        <v>154</v>
      </c>
      <c r="B4" s="314"/>
      <c r="C4" s="314"/>
      <c r="E4" s="314" t="s">
        <v>155</v>
      </c>
      <c r="F4" s="314"/>
      <c r="G4" s="314"/>
      <c r="I4" s="314" t="s">
        <v>156</v>
      </c>
      <c r="J4" s="314"/>
      <c r="K4" s="314"/>
      <c r="M4" s="34" t="s">
        <v>157</v>
      </c>
      <c r="N4" s="34"/>
      <c r="O4" s="34"/>
    </row>
    <row r="5" spans="1:26" x14ac:dyDescent="0.25">
      <c r="A5" s="16" t="s">
        <v>158</v>
      </c>
      <c r="B5" s="16" t="s">
        <v>159</v>
      </c>
      <c r="C5" s="16" t="s">
        <v>160</v>
      </c>
      <c r="E5" s="16" t="s">
        <v>158</v>
      </c>
      <c r="F5" s="16" t="s">
        <v>159</v>
      </c>
      <c r="G5" s="16" t="s">
        <v>160</v>
      </c>
      <c r="I5" s="25" t="s">
        <v>161</v>
      </c>
      <c r="J5" s="16" t="s">
        <v>159</v>
      </c>
      <c r="K5" s="16" t="s">
        <v>160</v>
      </c>
      <c r="M5" s="25" t="s">
        <v>162</v>
      </c>
      <c r="N5" s="16" t="s">
        <v>159</v>
      </c>
      <c r="O5" s="16" t="s">
        <v>160</v>
      </c>
    </row>
    <row r="6" spans="1:26" x14ac:dyDescent="0.25">
      <c r="A6" s="17" t="s">
        <v>163</v>
      </c>
      <c r="B6" s="18">
        <v>51</v>
      </c>
      <c r="C6" s="19">
        <v>4.8738532110091746E-3</v>
      </c>
      <c r="E6" s="23" t="s">
        <v>164</v>
      </c>
      <c r="F6" s="18">
        <f>G6*10464</f>
        <v>156.96</v>
      </c>
      <c r="G6" s="19">
        <v>1.4999999999999999E-2</v>
      </c>
      <c r="I6" s="23" t="s">
        <v>165</v>
      </c>
      <c r="J6" s="18">
        <v>8225</v>
      </c>
      <c r="K6" s="19">
        <v>0.78602828746177367</v>
      </c>
      <c r="M6" s="23" t="s">
        <v>166</v>
      </c>
      <c r="N6" s="18">
        <v>222</v>
      </c>
      <c r="O6" s="19">
        <v>2.1215596330275231E-2</v>
      </c>
    </row>
    <row r="7" spans="1:26" x14ac:dyDescent="0.25">
      <c r="A7" s="20" t="s">
        <v>167</v>
      </c>
      <c r="B7" s="21">
        <v>1537</v>
      </c>
      <c r="C7" s="22">
        <v>0.14688455657492355</v>
      </c>
      <c r="E7" s="24" t="s">
        <v>168</v>
      </c>
      <c r="F7" s="18">
        <f t="shared" ref="F7:F12" si="0">G7*10464</f>
        <v>1308</v>
      </c>
      <c r="G7" s="19">
        <v>0.125</v>
      </c>
      <c r="I7" s="24" t="s">
        <v>169</v>
      </c>
      <c r="J7" s="21">
        <v>1355</v>
      </c>
      <c r="K7" s="19">
        <v>0.12949159021406728</v>
      </c>
      <c r="M7" s="24" t="s">
        <v>170</v>
      </c>
      <c r="N7" s="21">
        <v>10243</v>
      </c>
      <c r="O7" s="22">
        <v>0.97887996941896027</v>
      </c>
    </row>
    <row r="8" spans="1:26" x14ac:dyDescent="0.25">
      <c r="A8" s="20" t="s">
        <v>171</v>
      </c>
      <c r="B8" s="21">
        <v>2868</v>
      </c>
      <c r="C8" s="22">
        <v>0.27408256880733944</v>
      </c>
      <c r="E8" s="24" t="s">
        <v>172</v>
      </c>
      <c r="F8" s="18">
        <f t="shared" si="0"/>
        <v>2145.12</v>
      </c>
      <c r="G8" s="19">
        <v>0.20499999999999999</v>
      </c>
      <c r="I8" s="24" t="s">
        <v>173</v>
      </c>
      <c r="J8" s="21">
        <v>446</v>
      </c>
      <c r="K8" s="19">
        <v>4.2622324159021403E-2</v>
      </c>
    </row>
    <row r="9" spans="1:26" x14ac:dyDescent="0.25">
      <c r="A9" s="20" t="s">
        <v>174</v>
      </c>
      <c r="B9" s="21">
        <v>2436</v>
      </c>
      <c r="C9" s="22">
        <v>0.23279816513761467</v>
      </c>
      <c r="E9" s="24" t="s">
        <v>175</v>
      </c>
      <c r="F9" s="18">
        <f t="shared" si="0"/>
        <v>1412.64</v>
      </c>
      <c r="G9" s="19">
        <v>0.13500000000000001</v>
      </c>
      <c r="I9" s="24" t="s">
        <v>176</v>
      </c>
      <c r="J9" s="21">
        <v>205</v>
      </c>
      <c r="K9" s="19">
        <v>1.9590978593272173E-2</v>
      </c>
    </row>
    <row r="10" spans="1:26" x14ac:dyDescent="0.25">
      <c r="A10" s="20" t="s">
        <v>177</v>
      </c>
      <c r="B10" s="21">
        <v>1935</v>
      </c>
      <c r="C10" s="22">
        <v>0.1849197247706422</v>
      </c>
      <c r="E10" s="24" t="s">
        <v>178</v>
      </c>
      <c r="F10" s="18">
        <f t="shared" si="0"/>
        <v>3693.7919999999999</v>
      </c>
      <c r="G10" s="19">
        <v>0.35299999999999998</v>
      </c>
      <c r="I10" s="24" t="s">
        <v>179</v>
      </c>
      <c r="J10" s="21">
        <v>204</v>
      </c>
      <c r="K10" s="19">
        <v>1.9495412844036698E-2</v>
      </c>
    </row>
    <row r="11" spans="1:26" x14ac:dyDescent="0.25">
      <c r="A11" s="20" t="s">
        <v>180</v>
      </c>
      <c r="B11" s="21">
        <v>1248</v>
      </c>
      <c r="C11" s="22">
        <v>0.11926605504587157</v>
      </c>
      <c r="E11" s="24" t="s">
        <v>181</v>
      </c>
      <c r="F11" s="18">
        <f t="shared" si="0"/>
        <v>1611.4559999999999</v>
      </c>
      <c r="G11" s="19">
        <v>0.154</v>
      </c>
      <c r="I11" s="24" t="s">
        <v>182</v>
      </c>
      <c r="J11" s="21">
        <v>28</v>
      </c>
      <c r="K11" s="19">
        <v>2.675840978593272E-3</v>
      </c>
    </row>
    <row r="12" spans="1:26" x14ac:dyDescent="0.25">
      <c r="A12" s="20" t="s">
        <v>183</v>
      </c>
      <c r="B12" s="21">
        <v>389</v>
      </c>
      <c r="C12" s="22">
        <v>3.717507645259939E-2</v>
      </c>
      <c r="E12" s="24" t="s">
        <v>184</v>
      </c>
      <c r="F12" s="18">
        <f t="shared" si="0"/>
        <v>125.568</v>
      </c>
      <c r="G12" s="19">
        <v>1.2E-2</v>
      </c>
      <c r="I12" s="24" t="s">
        <v>185</v>
      </c>
      <c r="J12" s="21">
        <v>2</v>
      </c>
      <c r="K12" s="19">
        <v>1.9113149847094801E-4</v>
      </c>
    </row>
  </sheetData>
  <sortState xmlns:xlrd2="http://schemas.microsoft.com/office/spreadsheetml/2017/richdata2" ref="I6:K12">
    <sortCondition descending="1" ref="J6:J12"/>
  </sortState>
  <mergeCells count="4">
    <mergeCell ref="A1:Z1"/>
    <mergeCell ref="A4:C4"/>
    <mergeCell ref="E4:G4"/>
    <mergeCell ref="I4:K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4A117-0FAE-4EC6-B140-64C8115AE927}">
  <sheetPr>
    <tabColor rgb="FFA2AE74"/>
  </sheetPr>
  <dimension ref="A1:AA56"/>
  <sheetViews>
    <sheetView zoomScaleNormal="100" workbookViewId="0">
      <selection activeCell="W38" sqref="W38:W39"/>
    </sheetView>
  </sheetViews>
  <sheetFormatPr defaultRowHeight="15" x14ac:dyDescent="0.25"/>
  <cols>
    <col min="1" max="1" width="37.5703125" bestFit="1" customWidth="1"/>
    <col min="2" max="2" width="12.28515625" customWidth="1"/>
    <col min="3" max="3" width="12.42578125" customWidth="1"/>
    <col min="4" max="4" width="13.5703125" customWidth="1"/>
    <col min="5" max="5" width="8.5703125" style="12" bestFit="1" customWidth="1"/>
    <col min="6" max="6" width="9" customWidth="1"/>
    <col min="7" max="9" width="8.140625" bestFit="1" customWidth="1"/>
    <col min="10" max="12" width="9.28515625" bestFit="1" customWidth="1"/>
    <col min="13" max="13" width="9.140625" bestFit="1" customWidth="1"/>
    <col min="14" max="14" width="8.42578125" bestFit="1" customWidth="1"/>
    <col min="15" max="15" width="7.5703125" bestFit="1" customWidth="1"/>
    <col min="16" max="16" width="9.140625" style="10" bestFit="1" customWidth="1"/>
    <col min="17" max="18" width="7.5703125" bestFit="1" customWidth="1"/>
    <col min="19" max="19" width="9.140625" bestFit="1" customWidth="1"/>
    <col min="20" max="20" width="8.7109375" bestFit="1" customWidth="1"/>
    <col min="23" max="24" width="8" bestFit="1" customWidth="1"/>
    <col min="25" max="25" width="7.42578125" bestFit="1" customWidth="1"/>
    <col min="30" max="30" width="10.140625" bestFit="1" customWidth="1"/>
    <col min="33" max="33" width="33.5703125" customWidth="1"/>
    <col min="34" max="34" width="2.85546875" customWidth="1"/>
  </cols>
  <sheetData>
    <row r="1" spans="1:26" ht="23.25" x14ac:dyDescent="0.35">
      <c r="A1" s="262" t="s">
        <v>186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row>
    <row r="4" spans="1:26" ht="18.75" x14ac:dyDescent="0.3">
      <c r="A4" s="318" t="s">
        <v>187</v>
      </c>
      <c r="B4" s="318"/>
      <c r="C4" s="318"/>
      <c r="D4" s="318"/>
      <c r="E4" s="318"/>
      <c r="F4" s="318"/>
      <c r="G4" s="318"/>
      <c r="H4" s="318"/>
    </row>
    <row r="5" spans="1:26" ht="36" customHeight="1" x14ac:dyDescent="0.25">
      <c r="A5" s="316" t="s">
        <v>188</v>
      </c>
      <c r="B5" s="317" t="s">
        <v>189</v>
      </c>
      <c r="C5" s="317" t="s">
        <v>190</v>
      </c>
      <c r="D5" s="317" t="s">
        <v>191</v>
      </c>
      <c r="E5" s="317" t="s">
        <v>192</v>
      </c>
      <c r="F5" s="317"/>
      <c r="G5" s="317" t="s">
        <v>193</v>
      </c>
      <c r="H5" s="317"/>
      <c r="P5"/>
      <c r="R5" s="10"/>
    </row>
    <row r="6" spans="1:26" ht="15.75" thickBot="1" x14ac:dyDescent="0.3">
      <c r="A6" s="316"/>
      <c r="B6" s="317"/>
      <c r="C6" s="317"/>
      <c r="D6" s="319"/>
      <c r="E6" s="163" t="s">
        <v>194</v>
      </c>
      <c r="F6" s="163" t="s">
        <v>195</v>
      </c>
      <c r="G6" s="163" t="s">
        <v>194</v>
      </c>
      <c r="H6" s="163" t="s">
        <v>195</v>
      </c>
      <c r="P6"/>
      <c r="R6" s="10"/>
    </row>
    <row r="7" spans="1:26" ht="15.75" thickBot="1" x14ac:dyDescent="0.3">
      <c r="A7" s="198" t="s">
        <v>196</v>
      </c>
      <c r="B7" s="199">
        <v>1</v>
      </c>
      <c r="C7" s="200">
        <v>16.03</v>
      </c>
      <c r="D7" s="201" t="s">
        <v>59</v>
      </c>
      <c r="E7" s="202">
        <f t="shared" ref="E7:E12" si="0">W19-B19</f>
        <v>241.09065139999984</v>
      </c>
      <c r="F7" s="203">
        <f t="shared" ref="F7:F12" si="1">W29</f>
        <v>2.3581134832565114E-2</v>
      </c>
      <c r="G7" s="204">
        <f t="shared" ref="G7:G12" si="2">S38-B38</f>
        <v>4.0828951922999988</v>
      </c>
      <c r="H7" s="205">
        <f t="shared" ref="H7:H12" si="3">S48</f>
        <v>0.34164475351967966</v>
      </c>
      <c r="P7"/>
      <c r="R7" s="10"/>
    </row>
    <row r="8" spans="1:26" ht="15.75" thickTop="1" x14ac:dyDescent="0.25">
      <c r="A8" s="179" t="s">
        <v>197</v>
      </c>
      <c r="B8" s="173">
        <v>0.97</v>
      </c>
      <c r="C8" s="186">
        <v>29.86</v>
      </c>
      <c r="D8" s="208">
        <f>C8-16.03</f>
        <v>13.829999999999998</v>
      </c>
      <c r="E8" s="175">
        <f t="shared" si="0"/>
        <v>-2728.99503043</v>
      </c>
      <c r="F8" s="174">
        <f t="shared" si="1"/>
        <v>-0.6971111403079715</v>
      </c>
      <c r="G8" s="177">
        <f t="shared" si="2"/>
        <v>6.329204626100001</v>
      </c>
      <c r="H8" s="178">
        <f t="shared" si="3"/>
        <v>0.26899845320863225</v>
      </c>
      <c r="P8"/>
      <c r="R8" s="10"/>
    </row>
    <row r="9" spans="1:26" x14ac:dyDescent="0.25">
      <c r="A9" s="179" t="s">
        <v>198</v>
      </c>
      <c r="B9" s="165">
        <v>0.96</v>
      </c>
      <c r="C9" s="186">
        <v>20.97</v>
      </c>
      <c r="D9" s="208">
        <f>C9-16.03</f>
        <v>4.9399999999999977</v>
      </c>
      <c r="E9" s="175">
        <f t="shared" si="0"/>
        <v>3772.8860237299996</v>
      </c>
      <c r="F9" s="174">
        <f t="shared" si="1"/>
        <v>0.64722203463808869</v>
      </c>
      <c r="G9" s="176">
        <f t="shared" si="2"/>
        <v>5.3347907593999988</v>
      </c>
      <c r="H9" s="178">
        <f t="shared" si="3"/>
        <v>0.34118522913788396</v>
      </c>
      <c r="P9"/>
      <c r="R9" s="10"/>
    </row>
    <row r="10" spans="1:26" x14ac:dyDescent="0.25">
      <c r="A10" s="179" t="s">
        <v>199</v>
      </c>
      <c r="B10" s="165">
        <v>0.93</v>
      </c>
      <c r="C10" s="186">
        <v>17.53</v>
      </c>
      <c r="D10" s="214">
        <f>C10-16.03</f>
        <v>1.5</v>
      </c>
      <c r="E10" s="175">
        <f t="shared" si="0"/>
        <v>-7997</v>
      </c>
      <c r="F10" s="174">
        <f t="shared" si="1"/>
        <v>-0.41315354412068611</v>
      </c>
      <c r="G10" s="176">
        <f t="shared" si="2"/>
        <v>7.34</v>
      </c>
      <c r="H10" s="178">
        <f t="shared" si="3"/>
        <v>0.71749755620723354</v>
      </c>
      <c r="P10"/>
      <c r="R10" s="10"/>
    </row>
    <row r="11" spans="1:26" x14ac:dyDescent="0.25">
      <c r="A11" s="179" t="s">
        <v>200</v>
      </c>
      <c r="B11" s="165">
        <v>0.93</v>
      </c>
      <c r="C11" s="186">
        <v>21.4</v>
      </c>
      <c r="D11" s="208">
        <f>C11-16.03</f>
        <v>5.3699999999999974</v>
      </c>
      <c r="E11" s="175">
        <f t="shared" si="0"/>
        <v>-532.03542883</v>
      </c>
      <c r="F11" s="174">
        <f t="shared" si="1"/>
        <v>-0.29906818467208651</v>
      </c>
      <c r="G11" s="176">
        <f t="shared" si="2"/>
        <v>6.2263105114000012</v>
      </c>
      <c r="H11" s="178">
        <f t="shared" si="3"/>
        <v>0.4104176542386872</v>
      </c>
      <c r="P11"/>
      <c r="R11" s="10"/>
    </row>
    <row r="12" spans="1:26" ht="15.75" thickBot="1" x14ac:dyDescent="0.3">
      <c r="A12" s="180" t="s">
        <v>201</v>
      </c>
      <c r="B12" s="181">
        <v>0.92</v>
      </c>
      <c r="C12" s="187">
        <v>18.64</v>
      </c>
      <c r="D12" s="209">
        <f>C12-16.03</f>
        <v>2.6099999999999994</v>
      </c>
      <c r="E12" s="182">
        <f t="shared" si="0"/>
        <v>-27807</v>
      </c>
      <c r="F12" s="183">
        <f t="shared" si="1"/>
        <v>-0.21819337424083113</v>
      </c>
      <c r="G12" s="184">
        <f t="shared" si="2"/>
        <v>6.99</v>
      </c>
      <c r="H12" s="185">
        <f t="shared" si="3"/>
        <v>0.6</v>
      </c>
      <c r="P12"/>
      <c r="R12" s="10"/>
    </row>
    <row r="13" spans="1:26" x14ac:dyDescent="0.25">
      <c r="A13" s="1"/>
      <c r="B13" s="35"/>
      <c r="C13" s="36"/>
      <c r="D13" s="36"/>
    </row>
    <row r="14" spans="1:26" x14ac:dyDescent="0.25">
      <c r="G14" s="219"/>
    </row>
    <row r="15" spans="1:26" x14ac:dyDescent="0.25">
      <c r="G15" s="219"/>
    </row>
    <row r="17" spans="1:26" ht="15.75" x14ac:dyDescent="0.25">
      <c r="A17" s="315" t="s">
        <v>202</v>
      </c>
      <c r="B17" s="315"/>
      <c r="C17" s="315"/>
      <c r="D17" s="315"/>
      <c r="E17" s="315"/>
      <c r="F17" s="315"/>
      <c r="G17" s="315"/>
      <c r="H17" s="315"/>
      <c r="I17" s="315"/>
      <c r="J17" s="315"/>
      <c r="K17" s="315"/>
      <c r="L17" s="315"/>
      <c r="M17" s="315"/>
      <c r="N17" s="315"/>
      <c r="O17" s="315"/>
      <c r="P17" s="315"/>
      <c r="Q17" s="315"/>
      <c r="R17" s="315"/>
      <c r="S17" s="315"/>
      <c r="T17" s="315"/>
      <c r="U17" s="315"/>
      <c r="V17" s="315"/>
      <c r="W17" s="315"/>
    </row>
    <row r="18" spans="1:26" x14ac:dyDescent="0.25">
      <c r="A18" s="190" t="s">
        <v>188</v>
      </c>
      <c r="B18" s="191">
        <v>2001</v>
      </c>
      <c r="C18" s="191">
        <v>2002</v>
      </c>
      <c r="D18" s="191">
        <v>2003</v>
      </c>
      <c r="E18" s="191">
        <v>2004</v>
      </c>
      <c r="F18" s="191">
        <v>2005</v>
      </c>
      <c r="G18" s="191">
        <v>2006</v>
      </c>
      <c r="H18" s="191">
        <v>2007</v>
      </c>
      <c r="I18" s="191">
        <v>2008</v>
      </c>
      <c r="J18" s="191">
        <v>2009</v>
      </c>
      <c r="K18" s="191">
        <v>2010</v>
      </c>
      <c r="L18" s="191">
        <v>2011</v>
      </c>
      <c r="M18" s="191">
        <v>2012</v>
      </c>
      <c r="N18" s="191">
        <v>2013</v>
      </c>
      <c r="O18" s="191">
        <v>2014</v>
      </c>
      <c r="P18" s="191">
        <v>2015</v>
      </c>
      <c r="Q18" s="191">
        <v>2016</v>
      </c>
      <c r="R18" s="191">
        <v>2017</v>
      </c>
      <c r="S18" s="191">
        <v>2018</v>
      </c>
      <c r="T18" s="191">
        <v>2019</v>
      </c>
      <c r="U18" s="191">
        <v>2020</v>
      </c>
      <c r="V18" s="191">
        <v>2021</v>
      </c>
      <c r="W18" s="191">
        <v>2022</v>
      </c>
    </row>
    <row r="19" spans="1:26" ht="15.75" thickBot="1" x14ac:dyDescent="0.3">
      <c r="A19" s="166" t="s">
        <v>196</v>
      </c>
      <c r="B19" s="167">
        <v>10223.878244699999</v>
      </c>
      <c r="C19" s="167">
        <v>10406.3483512</v>
      </c>
      <c r="D19" s="167">
        <v>10426.300502</v>
      </c>
      <c r="E19" s="167">
        <v>10325.835215200001</v>
      </c>
      <c r="F19" s="167">
        <v>10337.8251642</v>
      </c>
      <c r="G19" s="167">
        <v>10431.0832467</v>
      </c>
      <c r="H19" s="167">
        <v>10415.613489199999</v>
      </c>
      <c r="I19" s="167">
        <v>10318.4262389</v>
      </c>
      <c r="J19" s="167">
        <v>10080.554326699999</v>
      </c>
      <c r="K19" s="167">
        <v>9843.7264589000006</v>
      </c>
      <c r="L19" s="167">
        <v>9401.7835870899999</v>
      </c>
      <c r="M19" s="167">
        <v>9154.3144978100008</v>
      </c>
      <c r="N19" s="167">
        <v>9293.6152576799996</v>
      </c>
      <c r="O19" s="167">
        <v>9242.5260605599997</v>
      </c>
      <c r="P19" s="167">
        <v>9752.3197509099991</v>
      </c>
      <c r="Q19" s="167">
        <v>10444.903679700001</v>
      </c>
      <c r="R19" s="167">
        <v>11289.819695599999</v>
      </c>
      <c r="S19" s="167">
        <v>11564.178667800001</v>
      </c>
      <c r="T19" s="167">
        <v>11861.5368174</v>
      </c>
      <c r="U19" s="167">
        <v>9920.1906641900005</v>
      </c>
      <c r="V19" s="167">
        <v>10222.8116157</v>
      </c>
      <c r="W19" s="167">
        <v>10464.968896099999</v>
      </c>
    </row>
    <row r="20" spans="1:26" ht="15.75" thickTop="1" x14ac:dyDescent="0.25">
      <c r="A20" s="143" t="s">
        <v>197</v>
      </c>
      <c r="B20" s="144">
        <v>3914.72015384</v>
      </c>
      <c r="C20" s="144">
        <v>3933.65909947</v>
      </c>
      <c r="D20" s="144">
        <v>3857.3568922499999</v>
      </c>
      <c r="E20" s="144">
        <v>3782.8013989299998</v>
      </c>
      <c r="F20" s="144">
        <v>3769.02599504</v>
      </c>
      <c r="G20" s="144">
        <v>3010.8094454299999</v>
      </c>
      <c r="H20" s="144">
        <v>2783.9150742000002</v>
      </c>
      <c r="I20" s="144">
        <v>2705.9967873700002</v>
      </c>
      <c r="J20" s="144">
        <v>2858.06428383</v>
      </c>
      <c r="K20" s="144">
        <v>2798.0427983</v>
      </c>
      <c r="L20" s="144">
        <v>2720.1393925100001</v>
      </c>
      <c r="M20" s="144">
        <v>2658.8683368299999</v>
      </c>
      <c r="N20" s="144">
        <v>2657.7668796900002</v>
      </c>
      <c r="O20" s="144">
        <v>2713.7226444399998</v>
      </c>
      <c r="P20" s="144">
        <v>2501.9509581699999</v>
      </c>
      <c r="Q20" s="144">
        <v>2130.1390253</v>
      </c>
      <c r="R20" s="144">
        <v>1750.2666460800001</v>
      </c>
      <c r="S20" s="144">
        <v>1559.1453864800001</v>
      </c>
      <c r="T20" s="144">
        <v>1421.5076820300001</v>
      </c>
      <c r="U20" s="144">
        <v>1251.82616067</v>
      </c>
      <c r="V20" s="144">
        <v>1200.0678915399999</v>
      </c>
      <c r="W20" s="144">
        <v>1185.7251234099999</v>
      </c>
    </row>
    <row r="21" spans="1:26" x14ac:dyDescent="0.25">
      <c r="A21" s="143" t="s">
        <v>198</v>
      </c>
      <c r="B21" s="144">
        <v>5829.3534858399998</v>
      </c>
      <c r="C21" s="144">
        <v>6137.9707167699999</v>
      </c>
      <c r="D21" s="144">
        <v>6452.5675670000001</v>
      </c>
      <c r="E21" s="144">
        <v>6646.2662267799997</v>
      </c>
      <c r="F21" s="144">
        <v>7034.7688398099999</v>
      </c>
      <c r="G21" s="144">
        <v>7188.8166250599998</v>
      </c>
      <c r="H21" s="144">
        <v>7475.2523448000002</v>
      </c>
      <c r="I21" s="144">
        <v>7517.3847883199996</v>
      </c>
      <c r="J21" s="144">
        <v>7176.6945627599998</v>
      </c>
      <c r="K21" s="144">
        <v>7051.4665514899998</v>
      </c>
      <c r="L21" s="144">
        <v>7518.4107983499998</v>
      </c>
      <c r="M21" s="144">
        <v>7607.14851765</v>
      </c>
      <c r="N21" s="144">
        <v>7701.4779266899995</v>
      </c>
      <c r="O21" s="144">
        <v>7813.8503622999997</v>
      </c>
      <c r="P21" s="144">
        <v>8025.54338216</v>
      </c>
      <c r="Q21" s="144">
        <v>8358.5503642599997</v>
      </c>
      <c r="R21" s="144">
        <v>8936.2846593100003</v>
      </c>
      <c r="S21" s="144">
        <v>9115.2446126600007</v>
      </c>
      <c r="T21" s="144">
        <v>9380.8303579599997</v>
      </c>
      <c r="U21" s="144">
        <v>8453.5152135299995</v>
      </c>
      <c r="V21" s="144">
        <v>8721.7193985100002</v>
      </c>
      <c r="W21" s="144">
        <v>9602.2395095699994</v>
      </c>
    </row>
    <row r="22" spans="1:26" x14ac:dyDescent="0.25">
      <c r="A22" s="143" t="s">
        <v>199</v>
      </c>
      <c r="B22" s="144">
        <v>19356</v>
      </c>
      <c r="C22" s="144">
        <v>19515</v>
      </c>
      <c r="D22" s="144">
        <v>19509</v>
      </c>
      <c r="E22" s="144">
        <v>19291</v>
      </c>
      <c r="F22" s="144">
        <v>19176</v>
      </c>
      <c r="G22" s="144">
        <v>18857</v>
      </c>
      <c r="H22" s="144">
        <v>18652</v>
      </c>
      <c r="I22" s="144">
        <v>17756</v>
      </c>
      <c r="J22" s="144">
        <v>16663</v>
      </c>
      <c r="K22" s="144">
        <v>16173</v>
      </c>
      <c r="L22" s="144">
        <v>16399</v>
      </c>
      <c r="M22" s="144">
        <v>16676</v>
      </c>
      <c r="N22" s="144">
        <v>16754</v>
      </c>
      <c r="O22" s="144">
        <v>16737</v>
      </c>
      <c r="P22" s="144">
        <v>16613</v>
      </c>
      <c r="Q22" s="144">
        <v>16736</v>
      </c>
      <c r="R22" s="144">
        <v>16896</v>
      </c>
      <c r="S22" s="144">
        <v>15535</v>
      </c>
      <c r="T22" s="144">
        <v>14712</v>
      </c>
      <c r="U22" s="144">
        <v>13606</v>
      </c>
      <c r="V22" s="144">
        <v>11820</v>
      </c>
      <c r="W22" s="144">
        <v>11359</v>
      </c>
    </row>
    <row r="23" spans="1:26" x14ac:dyDescent="0.25">
      <c r="A23" s="143" t="s">
        <v>200</v>
      </c>
      <c r="B23" s="144">
        <v>1778.9770229600001</v>
      </c>
      <c r="C23" s="144">
        <v>1800.84887265</v>
      </c>
      <c r="D23" s="144">
        <v>1806.0758816499999</v>
      </c>
      <c r="E23" s="144">
        <v>1812.22248805</v>
      </c>
      <c r="F23" s="144">
        <v>1796.108931</v>
      </c>
      <c r="G23" s="144">
        <v>1842.31856664</v>
      </c>
      <c r="H23" s="144">
        <v>1973.2200199700001</v>
      </c>
      <c r="I23" s="144">
        <v>1912.76735199</v>
      </c>
      <c r="J23" s="144">
        <v>2048.21298905</v>
      </c>
      <c r="K23" s="144">
        <v>2150.6827976599998</v>
      </c>
      <c r="L23" s="144">
        <v>2384.0004374800001</v>
      </c>
      <c r="M23" s="144">
        <v>2731.4564970299998</v>
      </c>
      <c r="N23" s="144">
        <v>2810.9124329599999</v>
      </c>
      <c r="O23" s="144">
        <v>2877.6851932899999</v>
      </c>
      <c r="P23" s="144">
        <v>2885.8378197900001</v>
      </c>
      <c r="Q23" s="144">
        <v>2978.6225499900002</v>
      </c>
      <c r="R23" s="144">
        <v>2997.29209115</v>
      </c>
      <c r="S23" s="144">
        <v>3066.23575716</v>
      </c>
      <c r="T23" s="144">
        <v>2563.9989966899998</v>
      </c>
      <c r="U23" s="144">
        <v>1763.50378877</v>
      </c>
      <c r="V23" s="144">
        <v>1529.10779817</v>
      </c>
      <c r="W23" s="144">
        <v>1246.9415941300001</v>
      </c>
    </row>
    <row r="24" spans="1:26" x14ac:dyDescent="0.25">
      <c r="A24" s="143" t="s">
        <v>201</v>
      </c>
      <c r="B24" s="146">
        <v>127442</v>
      </c>
      <c r="C24" s="146">
        <v>124731</v>
      </c>
      <c r="D24" s="146">
        <v>121309</v>
      </c>
      <c r="E24" s="146">
        <v>120080</v>
      </c>
      <c r="F24" s="146">
        <v>118951</v>
      </c>
      <c r="G24" s="146">
        <v>120349</v>
      </c>
      <c r="H24" s="146">
        <v>115651</v>
      </c>
      <c r="I24" s="146">
        <v>109856</v>
      </c>
      <c r="J24" s="146">
        <v>103332</v>
      </c>
      <c r="K24" s="146">
        <v>105353</v>
      </c>
      <c r="L24" s="146">
        <v>108076</v>
      </c>
      <c r="M24" s="146">
        <v>108623</v>
      </c>
      <c r="N24" s="146">
        <v>109567</v>
      </c>
      <c r="O24" s="146">
        <v>109637</v>
      </c>
      <c r="P24" s="146">
        <v>107878</v>
      </c>
      <c r="Q24" s="146">
        <v>106463</v>
      </c>
      <c r="R24" s="146">
        <v>107462</v>
      </c>
      <c r="S24" s="146">
        <v>109419</v>
      </c>
      <c r="T24" s="146">
        <v>111884</v>
      </c>
      <c r="U24" s="146">
        <v>107128</v>
      </c>
      <c r="V24" s="146">
        <v>104059</v>
      </c>
      <c r="W24" s="146">
        <v>99635</v>
      </c>
    </row>
    <row r="25" spans="1:26" x14ac:dyDescent="0.25">
      <c r="A25" s="142"/>
      <c r="B25" s="142"/>
      <c r="C25" s="142"/>
      <c r="D25" s="142"/>
      <c r="E25" s="142"/>
      <c r="F25" s="142"/>
      <c r="G25" s="142"/>
      <c r="H25" s="142"/>
      <c r="I25" s="142"/>
      <c r="J25" s="142"/>
      <c r="K25" s="142"/>
      <c r="L25" s="142"/>
      <c r="M25" s="142"/>
      <c r="N25" s="142"/>
      <c r="O25" s="142"/>
      <c r="P25" s="142"/>
      <c r="Q25" s="142"/>
      <c r="R25" s="142"/>
      <c r="S25" s="142"/>
      <c r="T25" s="142"/>
      <c r="U25" s="142"/>
      <c r="V25" s="142"/>
      <c r="W25" s="142"/>
    </row>
    <row r="26" spans="1:26" x14ac:dyDescent="0.25">
      <c r="A26" s="142"/>
      <c r="B26" s="142"/>
      <c r="C26" s="142"/>
      <c r="D26" s="142"/>
      <c r="E26" s="142"/>
      <c r="F26" s="142"/>
      <c r="G26" s="142"/>
      <c r="H26" s="142"/>
      <c r="I26" s="142"/>
      <c r="J26" s="142"/>
      <c r="K26" s="142"/>
      <c r="L26" s="142"/>
      <c r="M26" s="142"/>
      <c r="N26" s="142"/>
      <c r="O26" s="142"/>
      <c r="P26" s="142"/>
      <c r="Q26" s="142"/>
      <c r="R26" s="142"/>
      <c r="S26" s="142"/>
      <c r="T26" s="142"/>
      <c r="U26" s="142"/>
      <c r="V26" s="142"/>
      <c r="W26" s="142"/>
    </row>
    <row r="27" spans="1:26" ht="15.75" x14ac:dyDescent="0.25">
      <c r="A27" s="315" t="s">
        <v>203</v>
      </c>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6" x14ac:dyDescent="0.25">
      <c r="A28" s="190" t="s">
        <v>188</v>
      </c>
      <c r="B28" s="191">
        <v>2001</v>
      </c>
      <c r="C28" s="191">
        <v>2002</v>
      </c>
      <c r="D28" s="191">
        <v>2003</v>
      </c>
      <c r="E28" s="191">
        <v>2004</v>
      </c>
      <c r="F28" s="191">
        <v>2005</v>
      </c>
      <c r="G28" s="191">
        <v>2006</v>
      </c>
      <c r="H28" s="191">
        <v>2007</v>
      </c>
      <c r="I28" s="191">
        <v>2008</v>
      </c>
      <c r="J28" s="191">
        <v>2009</v>
      </c>
      <c r="K28" s="191">
        <v>2010</v>
      </c>
      <c r="L28" s="191">
        <v>2011</v>
      </c>
      <c r="M28" s="191">
        <v>2012</v>
      </c>
      <c r="N28" s="191">
        <v>2013</v>
      </c>
      <c r="O28" s="191">
        <v>2014</v>
      </c>
      <c r="P28" s="191">
        <v>2015</v>
      </c>
      <c r="Q28" s="191">
        <v>2016</v>
      </c>
      <c r="R28" s="191">
        <v>2017</v>
      </c>
      <c r="S28" s="191">
        <v>2018</v>
      </c>
      <c r="T28" s="191">
        <v>2019</v>
      </c>
      <c r="U28" s="191">
        <v>2020</v>
      </c>
      <c r="V28" s="191">
        <v>2021</v>
      </c>
      <c r="W28" s="191">
        <v>2022</v>
      </c>
    </row>
    <row r="29" spans="1:26" ht="15.75" thickBot="1" x14ac:dyDescent="0.3">
      <c r="A29" s="166" t="s">
        <v>196</v>
      </c>
      <c r="B29" s="168">
        <f t="shared" ref="B29:B34" si="4">(B19-B19)/B19</f>
        <v>0</v>
      </c>
      <c r="C29" s="168">
        <f t="shared" ref="C29:C34" si="5">(C19-B19)/B19</f>
        <v>1.7847445180070715E-2</v>
      </c>
      <c r="D29" s="168">
        <f t="shared" ref="D29:D34" si="6">(D19-B19)/B19</f>
        <v>1.9798969867910465E-2</v>
      </c>
      <c r="E29" s="168">
        <f t="shared" ref="E29:E34" si="7">(E19-B19)/B19</f>
        <v>9.9724359054114489E-3</v>
      </c>
      <c r="F29" s="168">
        <f t="shared" ref="F29:F34" si="8">(F19-B19)/B19</f>
        <v>1.1145175712462107E-2</v>
      </c>
      <c r="G29" s="168">
        <f t="shared" ref="G29:G34" si="9">(G19-B19)/B19</f>
        <v>2.0266771281965777E-2</v>
      </c>
      <c r="H29" s="168">
        <f t="shared" ref="H29:H34" si="10">(H19-B19)/B19</f>
        <v>1.8753670565217671E-2</v>
      </c>
      <c r="I29" s="168">
        <f t="shared" ref="I29:I34" si="11">(I19-B19)/B19</f>
        <v>9.2477621443715179E-3</v>
      </c>
      <c r="J29" s="168">
        <f t="shared" ref="J29:J34" si="12">(J19-B19)/B19</f>
        <v>-1.4018547029773008E-2</v>
      </c>
      <c r="K29" s="168">
        <f t="shared" ref="K29:K34" si="13">(K19-B19)/B19</f>
        <v>-3.7182737969035123E-2</v>
      </c>
      <c r="L29" s="168">
        <f t="shared" ref="L29:L34" si="14">(L19-B19)/B19</f>
        <v>-8.0409276982163672E-2</v>
      </c>
      <c r="M29" s="168">
        <f t="shared" ref="M29:M34" si="15">(M19-B19)/B19</f>
        <v>-0.10461428836405151</v>
      </c>
      <c r="N29" s="168">
        <f t="shared" ref="N29:N34" si="16">(N19-B19)/B19</f>
        <v>-9.0989247402495518E-2</v>
      </c>
      <c r="O29" s="168">
        <f t="shared" ref="O29:O34" si="17">(O19-B19)/B19</f>
        <v>-9.5986294109940834E-2</v>
      </c>
      <c r="P29" s="168">
        <f t="shared" ref="P29:P34" si="18">(P19-B19)/B19</f>
        <v>-4.6123250150641566E-2</v>
      </c>
      <c r="Q29" s="168">
        <f t="shared" ref="Q29:Q34" si="19">(Q19-B19)/B19</f>
        <v>2.1618551171086148E-2</v>
      </c>
      <c r="R29" s="168">
        <f t="shared" ref="R29:R34" si="20">(R19-B19)/B19</f>
        <v>0.10425999071854927</v>
      </c>
      <c r="S29" s="168">
        <f t="shared" ref="S29:S34" si="21">(S19-B19)/B19</f>
        <v>0.13109510804227403</v>
      </c>
      <c r="T29" s="168">
        <f t="shared" ref="T29:T34" si="22">(T19-B19)/B19</f>
        <v>0.16017978046138734</v>
      </c>
      <c r="U29" s="168">
        <f t="shared" ref="U29:U34" si="23">(U19-B19)/B19</f>
        <v>-2.9703755584866133E-2</v>
      </c>
      <c r="V29" s="168">
        <f t="shared" ref="V29:V34" si="24">(V19-B19)/B19</f>
        <v>-1.0432724006195455E-4</v>
      </c>
      <c r="W29" s="168">
        <f t="shared" ref="W29:W34" si="25">(W19-B19)/B19</f>
        <v>2.3581134832565114E-2</v>
      </c>
      <c r="Y29" s="219" t="s">
        <v>196</v>
      </c>
      <c r="Z29" s="220">
        <v>4.0828951922999988</v>
      </c>
    </row>
    <row r="30" spans="1:26" ht="15.75" thickTop="1" x14ac:dyDescent="0.25">
      <c r="A30" s="143" t="s">
        <v>197</v>
      </c>
      <c r="B30" s="147">
        <f t="shared" si="4"/>
        <v>0</v>
      </c>
      <c r="C30" s="147">
        <f t="shared" si="5"/>
        <v>4.8378798191800699E-3</v>
      </c>
      <c r="D30" s="147">
        <f t="shared" si="6"/>
        <v>-1.4653221516672582E-2</v>
      </c>
      <c r="E30" s="147">
        <f t="shared" si="7"/>
        <v>-3.3698131597120519E-2</v>
      </c>
      <c r="F30" s="147">
        <f t="shared" si="8"/>
        <v>-3.7217004811208959E-2</v>
      </c>
      <c r="G30" s="147">
        <f t="shared" si="9"/>
        <v>-0.23090046616061236</v>
      </c>
      <c r="H30" s="147">
        <f t="shared" si="10"/>
        <v>-0.28885974864149061</v>
      </c>
      <c r="I30" s="147">
        <f t="shared" si="11"/>
        <v>-0.30876367121270398</v>
      </c>
      <c r="J30" s="147">
        <f t="shared" si="12"/>
        <v>-0.26991862214557338</v>
      </c>
      <c r="K30" s="147">
        <f t="shared" si="13"/>
        <v>-0.28525087660343657</v>
      </c>
      <c r="L30" s="147">
        <f t="shared" si="14"/>
        <v>-0.30515099787100236</v>
      </c>
      <c r="M30" s="147">
        <f t="shared" si="15"/>
        <v>-0.32080245015167141</v>
      </c>
      <c r="N30" s="147">
        <f t="shared" si="16"/>
        <v>-0.32108381308355793</v>
      </c>
      <c r="O30" s="147">
        <f t="shared" si="17"/>
        <v>-0.30679013114690357</v>
      </c>
      <c r="P30" s="147">
        <f t="shared" si="18"/>
        <v>-0.36088638271734352</v>
      </c>
      <c r="Q30" s="147">
        <f t="shared" si="19"/>
        <v>-0.45586429129282235</v>
      </c>
      <c r="R30" s="147">
        <f t="shared" si="20"/>
        <v>-0.55290120946113075</v>
      </c>
      <c r="S30" s="147">
        <f t="shared" si="21"/>
        <v>-0.60172239005370176</v>
      </c>
      <c r="T30" s="147">
        <f t="shared" si="22"/>
        <v>-0.63688140501291657</v>
      </c>
      <c r="U30" s="147">
        <f t="shared" si="23"/>
        <v>-0.68022588806454842</v>
      </c>
      <c r="V30" s="147">
        <f t="shared" si="24"/>
        <v>-0.69344733611089981</v>
      </c>
      <c r="W30" s="147">
        <f t="shared" si="25"/>
        <v>-0.6971111403079715</v>
      </c>
      <c r="Y30" s="219" t="s">
        <v>204</v>
      </c>
      <c r="Z30" s="220">
        <v>5.3347907593999988</v>
      </c>
    </row>
    <row r="31" spans="1:26" x14ac:dyDescent="0.25">
      <c r="A31" s="143" t="s">
        <v>198</v>
      </c>
      <c r="B31" s="147">
        <f t="shared" si="4"/>
        <v>0</v>
      </c>
      <c r="C31" s="147">
        <f t="shared" si="5"/>
        <v>5.2941931155771865E-2</v>
      </c>
      <c r="D31" s="147">
        <f t="shared" si="6"/>
        <v>0.10690963975230541</v>
      </c>
      <c r="E31" s="147">
        <f t="shared" si="7"/>
        <v>0.1401377945126078</v>
      </c>
      <c r="F31" s="147">
        <f t="shared" si="8"/>
        <v>0.20678371227582226</v>
      </c>
      <c r="G31" s="147">
        <f t="shared" si="9"/>
        <v>0.23320993357535319</v>
      </c>
      <c r="H31" s="147">
        <f t="shared" si="10"/>
        <v>0.28234672386192222</v>
      </c>
      <c r="I31" s="147">
        <f t="shared" si="11"/>
        <v>0.28957435958899608</v>
      </c>
      <c r="J31" s="147">
        <f t="shared" si="12"/>
        <v>0.23113044700288071</v>
      </c>
      <c r="K31" s="147">
        <f t="shared" si="13"/>
        <v>0.2096481314126202</v>
      </c>
      <c r="L31" s="147">
        <f t="shared" si="14"/>
        <v>0.28975036710552299</v>
      </c>
      <c r="M31" s="147">
        <f t="shared" si="15"/>
        <v>0.30497293329842101</v>
      </c>
      <c r="N31" s="147">
        <f t="shared" si="16"/>
        <v>0.32115472931904898</v>
      </c>
      <c r="O31" s="147">
        <f t="shared" si="17"/>
        <v>0.3404317273400066</v>
      </c>
      <c r="P31" s="147">
        <f t="shared" si="18"/>
        <v>0.37674673557792199</v>
      </c>
      <c r="Q31" s="147">
        <f t="shared" si="19"/>
        <v>0.43387262147743078</v>
      </c>
      <c r="R31" s="147">
        <f t="shared" si="20"/>
        <v>0.53298040357597165</v>
      </c>
      <c r="S31" s="147">
        <f t="shared" si="21"/>
        <v>0.56368019795020363</v>
      </c>
      <c r="T31" s="147">
        <f t="shared" si="22"/>
        <v>0.60924026665166942</v>
      </c>
      <c r="U31" s="147">
        <f t="shared" si="23"/>
        <v>0.4501634244799726</v>
      </c>
      <c r="V31" s="147">
        <f t="shared" si="24"/>
        <v>0.49617267501375678</v>
      </c>
      <c r="W31" s="147">
        <f t="shared" si="25"/>
        <v>0.64722203463808869</v>
      </c>
      <c r="Y31" s="219" t="s">
        <v>205</v>
      </c>
      <c r="Z31" s="220">
        <v>6.2263105114000012</v>
      </c>
    </row>
    <row r="32" spans="1:26" x14ac:dyDescent="0.25">
      <c r="A32" s="143" t="s">
        <v>199</v>
      </c>
      <c r="B32" s="147">
        <f t="shared" si="4"/>
        <v>0</v>
      </c>
      <c r="C32" s="147">
        <f t="shared" si="5"/>
        <v>8.2145071295722256E-3</v>
      </c>
      <c r="D32" s="147">
        <f t="shared" si="6"/>
        <v>7.9045257284562926E-3</v>
      </c>
      <c r="E32" s="147">
        <f t="shared" si="7"/>
        <v>-3.3581318454226081E-3</v>
      </c>
      <c r="F32" s="147">
        <f t="shared" si="8"/>
        <v>-9.299442033477991E-3</v>
      </c>
      <c r="G32" s="147">
        <f t="shared" si="9"/>
        <v>-2.5780119859475099E-2</v>
      </c>
      <c r="H32" s="147">
        <f t="shared" si="10"/>
        <v>-3.6371151064269476E-2</v>
      </c>
      <c r="I32" s="147">
        <f t="shared" si="11"/>
        <v>-8.2661706964248807E-2</v>
      </c>
      <c r="J32" s="147">
        <f t="shared" si="12"/>
        <v>-0.13912998553420128</v>
      </c>
      <c r="K32" s="147">
        <f t="shared" si="13"/>
        <v>-0.16444513329200247</v>
      </c>
      <c r="L32" s="147">
        <f t="shared" si="14"/>
        <v>-0.15276916718330233</v>
      </c>
      <c r="M32" s="147">
        <f t="shared" si="15"/>
        <v>-0.13845835916511676</v>
      </c>
      <c r="N32" s="147">
        <f t="shared" si="16"/>
        <v>-0.13442860095060963</v>
      </c>
      <c r="O32" s="147">
        <f t="shared" si="17"/>
        <v>-0.13530688158710477</v>
      </c>
      <c r="P32" s="147">
        <f t="shared" si="18"/>
        <v>-0.14171316387683405</v>
      </c>
      <c r="Q32" s="147">
        <f t="shared" si="19"/>
        <v>-0.13535854515395743</v>
      </c>
      <c r="R32" s="147">
        <f t="shared" si="20"/>
        <v>-0.12709237445753255</v>
      </c>
      <c r="S32" s="147">
        <f t="shared" si="21"/>
        <v>-0.19740648894399671</v>
      </c>
      <c r="T32" s="147">
        <f t="shared" si="22"/>
        <v>-0.23992560446373218</v>
      </c>
      <c r="U32" s="147">
        <f t="shared" si="23"/>
        <v>-0.29706550940276916</v>
      </c>
      <c r="V32" s="147">
        <f t="shared" si="24"/>
        <v>-0.38933663980161193</v>
      </c>
      <c r="W32" s="147">
        <f t="shared" si="25"/>
        <v>-0.41315354412068611</v>
      </c>
      <c r="Y32" s="219" t="s">
        <v>197</v>
      </c>
      <c r="Z32" s="220">
        <v>6.329204626100001</v>
      </c>
    </row>
    <row r="33" spans="1:27" x14ac:dyDescent="0.25">
      <c r="A33" s="143" t="s">
        <v>200</v>
      </c>
      <c r="B33" s="147">
        <f t="shared" si="4"/>
        <v>0</v>
      </c>
      <c r="C33" s="147">
        <f t="shared" si="5"/>
        <v>1.2294621801021231E-2</v>
      </c>
      <c r="D33" s="147">
        <f t="shared" si="6"/>
        <v>1.523283231894172E-2</v>
      </c>
      <c r="E33" s="147">
        <f t="shared" si="7"/>
        <v>1.8687967669578743E-2</v>
      </c>
      <c r="F33" s="147">
        <f t="shared" si="8"/>
        <v>9.6302019750061033E-3</v>
      </c>
      <c r="G33" s="147">
        <f t="shared" si="9"/>
        <v>3.5605599657834414E-2</v>
      </c>
      <c r="H33" s="147">
        <f t="shared" si="10"/>
        <v>0.10918803025730112</v>
      </c>
      <c r="I33" s="147">
        <f t="shared" si="11"/>
        <v>7.5206327739629319E-2</v>
      </c>
      <c r="J33" s="147">
        <f t="shared" si="12"/>
        <v>0.15134313856511997</v>
      </c>
      <c r="K33" s="147">
        <f t="shared" si="13"/>
        <v>0.20894355008673846</v>
      </c>
      <c r="L33" s="147">
        <f t="shared" si="14"/>
        <v>0.34009625009844985</v>
      </c>
      <c r="M33" s="147">
        <f t="shared" si="15"/>
        <v>0.53540853073256134</v>
      </c>
      <c r="N33" s="147">
        <f t="shared" si="16"/>
        <v>0.58007236556826658</v>
      </c>
      <c r="O33" s="147">
        <f t="shared" si="17"/>
        <v>0.61760672349881385</v>
      </c>
      <c r="P33" s="147">
        <f t="shared" si="18"/>
        <v>0.62218948448716838</v>
      </c>
      <c r="Q33" s="147">
        <f t="shared" si="19"/>
        <v>0.67434571191590587</v>
      </c>
      <c r="R33" s="147">
        <f t="shared" si="20"/>
        <v>0.68484024946138577</v>
      </c>
      <c r="S33" s="147">
        <f t="shared" si="21"/>
        <v>0.72359491864496306</v>
      </c>
      <c r="T33" s="147">
        <f t="shared" si="22"/>
        <v>0.44127718548259781</v>
      </c>
      <c r="U33" s="147">
        <f t="shared" si="23"/>
        <v>-8.697826891689988E-3</v>
      </c>
      <c r="V33" s="147">
        <f t="shared" si="24"/>
        <v>-0.14045669031421681</v>
      </c>
      <c r="W33" s="147">
        <f t="shared" si="25"/>
        <v>-0.29906818467208651</v>
      </c>
      <c r="Y33" s="219" t="s">
        <v>201</v>
      </c>
      <c r="Z33" s="220">
        <v>6.99</v>
      </c>
    </row>
    <row r="34" spans="1:27" x14ac:dyDescent="0.25">
      <c r="A34" s="143" t="s">
        <v>201</v>
      </c>
      <c r="B34" s="147">
        <f t="shared" si="4"/>
        <v>0</v>
      </c>
      <c r="C34" s="147">
        <f t="shared" si="5"/>
        <v>-2.1272421964501499E-2</v>
      </c>
      <c r="D34" s="147">
        <f t="shared" si="6"/>
        <v>-4.812385241913969E-2</v>
      </c>
      <c r="E34" s="147">
        <f t="shared" si="7"/>
        <v>-5.7767454999136859E-2</v>
      </c>
      <c r="F34" s="147">
        <f t="shared" si="8"/>
        <v>-6.6626386905415794E-2</v>
      </c>
      <c r="G34" s="147">
        <f t="shared" si="9"/>
        <v>-5.5656690886834795E-2</v>
      </c>
      <c r="H34" s="147">
        <f t="shared" si="10"/>
        <v>-9.2520519138117735E-2</v>
      </c>
      <c r="I34" s="147">
        <f t="shared" si="11"/>
        <v>-0.13799218468008978</v>
      </c>
      <c r="J34" s="147">
        <f t="shared" si="12"/>
        <v>-0.18918409943346778</v>
      </c>
      <c r="K34" s="147">
        <f t="shared" si="13"/>
        <v>-0.17332590511762214</v>
      </c>
      <c r="L34" s="147">
        <f t="shared" si="14"/>
        <v>-0.15195932267227444</v>
      </c>
      <c r="M34" s="147">
        <f t="shared" si="15"/>
        <v>-0.14766717408703567</v>
      </c>
      <c r="N34" s="147">
        <f t="shared" si="16"/>
        <v>-0.14025988292713548</v>
      </c>
      <c r="O34" s="147">
        <f t="shared" si="17"/>
        <v>-0.13971061345553271</v>
      </c>
      <c r="P34" s="147">
        <f t="shared" si="18"/>
        <v>-0.15351297060623656</v>
      </c>
      <c r="Q34" s="147">
        <f t="shared" si="19"/>
        <v>-0.16461606063934967</v>
      </c>
      <c r="R34" s="147">
        <f t="shared" si="20"/>
        <v>-0.15677720060890443</v>
      </c>
      <c r="S34" s="147">
        <f t="shared" si="21"/>
        <v>-0.14142119552423849</v>
      </c>
      <c r="T34" s="147">
        <f t="shared" si="22"/>
        <v>-0.12207906341708386</v>
      </c>
      <c r="U34" s="147">
        <f t="shared" si="23"/>
        <v>-0.15939800065912338</v>
      </c>
      <c r="V34" s="147">
        <f t="shared" si="24"/>
        <v>-0.18347954363553617</v>
      </c>
      <c r="W34" s="147">
        <f t="shared" si="25"/>
        <v>-0.21819337424083113</v>
      </c>
      <c r="Y34" s="219" t="s">
        <v>206</v>
      </c>
      <c r="Z34" s="220">
        <v>7.34</v>
      </c>
    </row>
    <row r="35" spans="1:27" x14ac:dyDescent="0.25">
      <c r="A35" s="1"/>
      <c r="B35" s="1"/>
      <c r="C35" s="1"/>
      <c r="D35" s="39"/>
      <c r="E35" s="1"/>
      <c r="F35" s="1"/>
      <c r="G35" s="1"/>
      <c r="H35" s="1"/>
      <c r="I35" s="1"/>
      <c r="J35" s="1"/>
      <c r="K35" s="1"/>
      <c r="L35" s="1"/>
      <c r="M35" s="1"/>
      <c r="N35" s="1"/>
      <c r="O35" s="40"/>
      <c r="P35" s="1"/>
      <c r="Q35" s="1"/>
      <c r="R35" s="1"/>
      <c r="S35" s="1"/>
      <c r="T35" s="1"/>
      <c r="U35" s="1"/>
      <c r="V35" s="1"/>
      <c r="W35" s="1"/>
    </row>
    <row r="36" spans="1:27" ht="15.75" x14ac:dyDescent="0.25">
      <c r="A36" s="315" t="s">
        <v>207</v>
      </c>
      <c r="B36" s="315"/>
      <c r="C36" s="315"/>
      <c r="D36" s="315"/>
      <c r="E36" s="315"/>
      <c r="F36" s="315"/>
      <c r="G36" s="315"/>
      <c r="H36" s="315"/>
      <c r="I36" s="315"/>
      <c r="J36" s="315"/>
      <c r="K36" s="315"/>
      <c r="L36" s="315"/>
      <c r="M36" s="315"/>
      <c r="N36" s="315"/>
      <c r="O36" s="315"/>
      <c r="P36" s="315"/>
      <c r="Q36" s="315"/>
      <c r="R36" s="315"/>
      <c r="S36" s="315"/>
    </row>
    <row r="37" spans="1:27" x14ac:dyDescent="0.25">
      <c r="A37" s="190" t="s">
        <v>188</v>
      </c>
      <c r="B37" s="191">
        <v>2005</v>
      </c>
      <c r="C37" s="191">
        <v>2006</v>
      </c>
      <c r="D37" s="191">
        <v>2007</v>
      </c>
      <c r="E37" s="191">
        <v>2008</v>
      </c>
      <c r="F37" s="191">
        <v>2009</v>
      </c>
      <c r="G37" s="191">
        <v>2010</v>
      </c>
      <c r="H37" s="191">
        <v>2011</v>
      </c>
      <c r="I37" s="191">
        <v>2012</v>
      </c>
      <c r="J37" s="191">
        <v>2013</v>
      </c>
      <c r="K37" s="191">
        <v>2014</v>
      </c>
      <c r="L37" s="191">
        <v>2015</v>
      </c>
      <c r="M37" s="191">
        <v>2016</v>
      </c>
      <c r="N37" s="191">
        <v>2017</v>
      </c>
      <c r="O37" s="191">
        <v>2018</v>
      </c>
      <c r="P37" s="191">
        <v>2019</v>
      </c>
      <c r="Q37" s="191">
        <v>2020</v>
      </c>
      <c r="R37" s="191">
        <v>2021</v>
      </c>
      <c r="S37" s="191">
        <v>2022</v>
      </c>
    </row>
    <row r="38" spans="1:27" ht="15.75" thickBot="1" x14ac:dyDescent="0.3">
      <c r="A38" s="166" t="s">
        <v>196</v>
      </c>
      <c r="B38" s="169">
        <v>11.950703619</v>
      </c>
      <c r="C38" s="169">
        <v>12.7218602584</v>
      </c>
      <c r="D38" s="169">
        <v>13.450546281499999</v>
      </c>
      <c r="E38" s="169">
        <v>13.4149667769</v>
      </c>
      <c r="F38" s="169">
        <v>13.5452090059</v>
      </c>
      <c r="G38" s="169">
        <v>13.3002916718</v>
      </c>
      <c r="H38" s="169">
        <v>14.7625792061</v>
      </c>
      <c r="I38" s="169">
        <v>14.240575402799999</v>
      </c>
      <c r="J38" s="169">
        <v>13.6809499044</v>
      </c>
      <c r="K38" s="169">
        <v>13.1296714025</v>
      </c>
      <c r="L38" s="169">
        <v>13.243366787699999</v>
      </c>
      <c r="M38" s="169">
        <v>13.2414405317</v>
      </c>
      <c r="N38" s="169">
        <v>13.8703135468</v>
      </c>
      <c r="O38" s="169">
        <v>14.9999548341</v>
      </c>
      <c r="P38" s="169">
        <v>14.7460593342</v>
      </c>
      <c r="Q38" s="169">
        <v>14.459550802900001</v>
      </c>
      <c r="R38" s="169">
        <v>14.308846518199999</v>
      </c>
      <c r="S38" s="170">
        <v>16.033598811299999</v>
      </c>
      <c r="T38" s="218">
        <f>S38-(B38*1.4985)</f>
        <v>-1.8745305617715005</v>
      </c>
      <c r="U38" s="223">
        <f>T38/B38</f>
        <v>-0.15685524648032026</v>
      </c>
      <c r="V38" s="219"/>
      <c r="W38" s="218"/>
      <c r="X38" s="223"/>
      <c r="Z38" s="218"/>
      <c r="AA38" s="223"/>
    </row>
    <row r="39" spans="1:27" ht="15.75" thickTop="1" x14ac:dyDescent="0.25">
      <c r="A39" s="143" t="s">
        <v>197</v>
      </c>
      <c r="B39" s="150">
        <v>23.5287770268</v>
      </c>
      <c r="C39" s="150">
        <v>23.615942824499999</v>
      </c>
      <c r="D39" s="150">
        <v>25.590953629099999</v>
      </c>
      <c r="E39" s="150">
        <v>24.463068925599998</v>
      </c>
      <c r="F39" s="150">
        <v>23.601134332499999</v>
      </c>
      <c r="G39" s="150">
        <v>25.7736967572</v>
      </c>
      <c r="H39" s="150">
        <v>25.269896213300001</v>
      </c>
      <c r="I39" s="150">
        <v>26.589881516599998</v>
      </c>
      <c r="J39" s="150">
        <v>25.6939722256</v>
      </c>
      <c r="K39" s="150">
        <v>25.957594092699999</v>
      </c>
      <c r="L39" s="150">
        <v>25.174469967299999</v>
      </c>
      <c r="M39" s="150">
        <v>25.285310668499999</v>
      </c>
      <c r="N39" s="150">
        <v>26.654045719900001</v>
      </c>
      <c r="O39" s="150">
        <v>28.303087474400002</v>
      </c>
      <c r="P39" s="150">
        <v>28.3537532705</v>
      </c>
      <c r="Q39" s="150">
        <v>28.199427331100001</v>
      </c>
      <c r="R39" s="150">
        <v>29.128751623399999</v>
      </c>
      <c r="S39" s="151">
        <v>29.857981652900001</v>
      </c>
      <c r="T39" s="218">
        <f t="shared" ref="T39:T43" si="26">S39-(B39*1.4985)</f>
        <v>-5.399890721759796</v>
      </c>
      <c r="U39" s="223">
        <f>T39/B39</f>
        <v>-0.22950154679136764</v>
      </c>
      <c r="W39" s="218"/>
      <c r="X39" s="223"/>
      <c r="Z39" s="218"/>
      <c r="AA39" s="223"/>
    </row>
    <row r="40" spans="1:27" x14ac:dyDescent="0.25">
      <c r="A40" s="143" t="s">
        <v>198</v>
      </c>
      <c r="B40" s="150">
        <v>15.636054271400001</v>
      </c>
      <c r="C40" s="150">
        <v>16.631259718300001</v>
      </c>
      <c r="D40" s="150">
        <v>17.2726184112</v>
      </c>
      <c r="E40" s="150">
        <v>17.1656024316</v>
      </c>
      <c r="F40" s="150">
        <v>16.424026695799999</v>
      </c>
      <c r="G40" s="150">
        <v>16.280643013399999</v>
      </c>
      <c r="H40" s="150">
        <v>14.642277526000001</v>
      </c>
      <c r="I40" s="150">
        <v>14.664764123699999</v>
      </c>
      <c r="J40" s="150">
        <v>15.7912138966</v>
      </c>
      <c r="K40" s="150">
        <v>16.886758089600001</v>
      </c>
      <c r="L40" s="150">
        <v>16.523922117600002</v>
      </c>
      <c r="M40" s="150">
        <v>15.4094072963</v>
      </c>
      <c r="N40" s="150">
        <v>16.722409409200001</v>
      </c>
      <c r="O40" s="150">
        <v>16.848102505300002</v>
      </c>
      <c r="P40" s="150">
        <v>18.209337783399999</v>
      </c>
      <c r="Q40" s="150">
        <v>18.349836144299999</v>
      </c>
      <c r="R40" s="150">
        <v>18.3055803102</v>
      </c>
      <c r="S40" s="151">
        <v>20.9708450308</v>
      </c>
      <c r="T40" s="218">
        <f t="shared" si="26"/>
        <v>-2.4597822948929</v>
      </c>
      <c r="U40" s="223">
        <f t="shared" ref="U40:U43" si="27">T40/B40</f>
        <v>-0.15731477086211593</v>
      </c>
      <c r="W40" s="218"/>
      <c r="X40" s="223"/>
      <c r="Z40" s="218"/>
      <c r="AA40" s="223"/>
    </row>
    <row r="41" spans="1:27" x14ac:dyDescent="0.25">
      <c r="A41" s="143" t="s">
        <v>199</v>
      </c>
      <c r="B41" s="150">
        <v>10.23</v>
      </c>
      <c r="C41" s="150">
        <v>10.63</v>
      </c>
      <c r="D41" s="150">
        <v>10.99</v>
      </c>
      <c r="E41" s="150">
        <v>11.18</v>
      </c>
      <c r="F41" s="150">
        <v>11.38</v>
      </c>
      <c r="G41" s="150">
        <v>11.37</v>
      </c>
      <c r="H41" s="150">
        <v>11.77</v>
      </c>
      <c r="I41" s="150">
        <v>11.64</v>
      </c>
      <c r="J41" s="150">
        <v>11.74</v>
      </c>
      <c r="K41" s="150">
        <v>11.73</v>
      </c>
      <c r="L41" s="150">
        <v>12.01</v>
      </c>
      <c r="M41" s="150">
        <v>12.55</v>
      </c>
      <c r="N41" s="150">
        <v>13.12</v>
      </c>
      <c r="O41" s="150">
        <v>13.97</v>
      </c>
      <c r="P41" s="150">
        <v>14.62</v>
      </c>
      <c r="Q41" s="150">
        <v>15.2</v>
      </c>
      <c r="R41" s="150">
        <v>17.38</v>
      </c>
      <c r="S41" s="151">
        <v>17.57</v>
      </c>
      <c r="T41" s="218">
        <f t="shared" si="26"/>
        <v>2.2403449999999996</v>
      </c>
      <c r="U41" s="223">
        <f t="shared" si="27"/>
        <v>0.21899755620723357</v>
      </c>
      <c r="W41" s="218"/>
      <c r="X41" s="223"/>
      <c r="Z41" s="218"/>
      <c r="AA41" s="223"/>
    </row>
    <row r="42" spans="1:27" x14ac:dyDescent="0.25">
      <c r="A42" s="143" t="s">
        <v>200</v>
      </c>
      <c r="B42" s="150">
        <v>15.170669309899999</v>
      </c>
      <c r="C42" s="150">
        <v>16.440812522000002</v>
      </c>
      <c r="D42" s="150">
        <v>16.5220269205</v>
      </c>
      <c r="E42" s="150">
        <v>16.3005369067</v>
      </c>
      <c r="F42" s="150">
        <v>17.8648229022</v>
      </c>
      <c r="G42" s="150">
        <v>17.3796641329</v>
      </c>
      <c r="H42" s="150">
        <v>14.897552144500001</v>
      </c>
      <c r="I42" s="150">
        <v>15.972919771200001</v>
      </c>
      <c r="J42" s="150">
        <v>15.147861026599999</v>
      </c>
      <c r="K42" s="150">
        <v>16.741870675400001</v>
      </c>
      <c r="L42" s="150">
        <v>16.5848716516</v>
      </c>
      <c r="M42" s="150">
        <v>15.1853517903</v>
      </c>
      <c r="N42" s="150">
        <v>14.562994810299999</v>
      </c>
      <c r="O42" s="150">
        <v>14.920276475</v>
      </c>
      <c r="P42" s="150">
        <v>18.374052848000002</v>
      </c>
      <c r="Q42" s="150">
        <v>18.871898190900001</v>
      </c>
      <c r="R42" s="150">
        <v>20.8935023911</v>
      </c>
      <c r="S42" s="151">
        <v>21.3969798213</v>
      </c>
      <c r="T42" s="218">
        <f t="shared" si="26"/>
        <v>-1.3362681395851475</v>
      </c>
      <c r="U42" s="223">
        <f t="shared" si="27"/>
        <v>-8.8082345761312741E-2</v>
      </c>
      <c r="W42" s="218"/>
      <c r="X42" s="223"/>
      <c r="Z42" s="218"/>
      <c r="AA42" s="223"/>
    </row>
    <row r="43" spans="1:27" x14ac:dyDescent="0.25">
      <c r="A43" s="143" t="s">
        <v>201</v>
      </c>
      <c r="B43" s="150">
        <v>11.65</v>
      </c>
      <c r="C43" s="150">
        <v>11.79</v>
      </c>
      <c r="D43" s="150">
        <v>11.9</v>
      </c>
      <c r="E43" s="150">
        <v>12.25</v>
      </c>
      <c r="F43" s="150">
        <v>12.49</v>
      </c>
      <c r="G43" s="150">
        <v>12.77</v>
      </c>
      <c r="H43" s="150">
        <v>13.16</v>
      </c>
      <c r="I43" s="150">
        <v>13.3</v>
      </c>
      <c r="J43" s="150">
        <v>13.63</v>
      </c>
      <c r="K43" s="150">
        <v>13.91</v>
      </c>
      <c r="L43" s="150">
        <v>14.51</v>
      </c>
      <c r="M43" s="150">
        <v>15.17</v>
      </c>
      <c r="N43" s="150">
        <v>15.54</v>
      </c>
      <c r="O43" s="150">
        <v>15.99</v>
      </c>
      <c r="P43" s="150">
        <v>16.41</v>
      </c>
      <c r="Q43" s="150">
        <v>17.13</v>
      </c>
      <c r="R43" s="150">
        <v>17.989999999999998</v>
      </c>
      <c r="S43" s="151">
        <v>18.64</v>
      </c>
      <c r="T43" s="218">
        <f t="shared" si="26"/>
        <v>1.1824750000000002</v>
      </c>
      <c r="U43" s="223">
        <f t="shared" si="27"/>
        <v>0.10150000000000001</v>
      </c>
      <c r="W43" s="218"/>
      <c r="X43" s="223"/>
      <c r="Z43" s="218"/>
      <c r="AA43" s="223"/>
    </row>
    <row r="44" spans="1:27" x14ac:dyDescent="0.25">
      <c r="A44" s="1"/>
      <c r="B44" s="1"/>
      <c r="C44" s="1"/>
      <c r="D44" s="1"/>
      <c r="E44" s="1"/>
      <c r="F44" s="1"/>
      <c r="G44" s="1"/>
      <c r="H44" s="1"/>
      <c r="I44" s="1"/>
      <c r="J44" s="1"/>
      <c r="K44" s="40"/>
      <c r="L44" s="1"/>
      <c r="M44" s="1"/>
      <c r="N44" s="1"/>
      <c r="O44" s="1"/>
      <c r="P44" s="1"/>
      <c r="Q44" s="1"/>
      <c r="R44" s="1"/>
      <c r="S44" s="1"/>
    </row>
    <row r="45" spans="1:27" x14ac:dyDescent="0.25">
      <c r="A45" s="1"/>
      <c r="B45" s="1"/>
      <c r="C45" s="1"/>
      <c r="D45" s="1"/>
      <c r="E45" s="1"/>
      <c r="F45" s="1"/>
      <c r="G45" s="1"/>
      <c r="H45" s="1"/>
      <c r="I45" s="1"/>
      <c r="J45" s="1"/>
      <c r="K45" s="40"/>
      <c r="L45" s="1"/>
      <c r="M45" s="1"/>
      <c r="N45" s="1"/>
      <c r="O45" s="1"/>
      <c r="P45" s="1"/>
      <c r="Q45" s="1"/>
      <c r="R45" s="1"/>
      <c r="S45" s="1"/>
    </row>
    <row r="46" spans="1:27" ht="15.75" x14ac:dyDescent="0.25">
      <c r="A46" s="315" t="s">
        <v>208</v>
      </c>
      <c r="B46" s="315"/>
      <c r="C46" s="315"/>
      <c r="D46" s="315"/>
      <c r="E46" s="315"/>
      <c r="F46" s="315"/>
      <c r="G46" s="315"/>
      <c r="H46" s="315"/>
      <c r="I46" s="315"/>
      <c r="J46" s="315"/>
      <c r="K46" s="315"/>
      <c r="L46" s="315"/>
      <c r="M46" s="315"/>
      <c r="N46" s="315"/>
      <c r="O46" s="315"/>
      <c r="P46" s="315"/>
      <c r="Q46" s="315"/>
      <c r="R46" s="315"/>
      <c r="S46" s="315"/>
    </row>
    <row r="47" spans="1:27" x14ac:dyDescent="0.25">
      <c r="A47" s="190" t="s">
        <v>188</v>
      </c>
      <c r="B47" s="191">
        <v>2005</v>
      </c>
      <c r="C47" s="191">
        <v>2006</v>
      </c>
      <c r="D47" s="191">
        <v>2007</v>
      </c>
      <c r="E47" s="191">
        <v>2008</v>
      </c>
      <c r="F47" s="191">
        <v>2009</v>
      </c>
      <c r="G47" s="191">
        <v>2010</v>
      </c>
      <c r="H47" s="191">
        <v>2011</v>
      </c>
      <c r="I47" s="191">
        <v>2012</v>
      </c>
      <c r="J47" s="191">
        <v>2013</v>
      </c>
      <c r="K47" s="191">
        <v>2014</v>
      </c>
      <c r="L47" s="191">
        <v>2015</v>
      </c>
      <c r="M47" s="191">
        <v>2016</v>
      </c>
      <c r="N47" s="191">
        <v>2017</v>
      </c>
      <c r="O47" s="191">
        <v>2018</v>
      </c>
      <c r="P47" s="191">
        <v>2019</v>
      </c>
      <c r="Q47" s="191">
        <v>2020</v>
      </c>
      <c r="R47" s="191">
        <v>2021</v>
      </c>
      <c r="S47" s="191">
        <v>2022</v>
      </c>
    </row>
    <row r="48" spans="1:27" ht="15.75" thickBot="1" x14ac:dyDescent="0.3">
      <c r="A48" s="166" t="s">
        <v>196</v>
      </c>
      <c r="B48" s="168">
        <f t="shared" ref="B48:B53" si="28">(B38-B38)/B38</f>
        <v>0</v>
      </c>
      <c r="C48" s="168">
        <f t="shared" ref="C48:C53" si="29">(C38-B38)/B38</f>
        <v>6.4528136918563059E-2</v>
      </c>
      <c r="D48" s="168">
        <f t="shared" ref="D48:D53" si="30">(D38-B38)/B38</f>
        <v>0.12550245661815695</v>
      </c>
      <c r="E48" s="168">
        <f t="shared" ref="E48:E53" si="31">(E38-B38)/B38</f>
        <v>0.12252526751412524</v>
      </c>
      <c r="F48" s="168">
        <f t="shared" ref="F48:F53" si="32">(F38-B38)/B38</f>
        <v>0.13342355711716858</v>
      </c>
      <c r="G48" s="168">
        <f t="shared" ref="G48:G53" si="33">(G38-B38)/B38</f>
        <v>0.11292958940545873</v>
      </c>
      <c r="H48" s="168">
        <f t="shared" ref="H48:H53" si="34">(H38-B38)/B38</f>
        <v>0.23528954250271072</v>
      </c>
      <c r="I48" s="168">
        <f t="shared" ref="I48:I53" si="35">(I38-B38)/B38</f>
        <v>0.19160978774165338</v>
      </c>
      <c r="J48" s="168">
        <f t="shared" ref="J48:J53" si="36">(J38-B38)/B38</f>
        <v>0.14478195933577856</v>
      </c>
      <c r="K48" s="168">
        <f t="shared" ref="K48:K53" si="37">(K38-B38)/B38</f>
        <v>9.8652583235818853E-2</v>
      </c>
      <c r="L48" s="168">
        <f t="shared" ref="L48:L53" si="38">(L38-B38)/B38</f>
        <v>0.10816628124262403</v>
      </c>
      <c r="M48" s="168">
        <f t="shared" ref="M48:M53" si="39">(M38-B38)/B38</f>
        <v>0.10800509776243659</v>
      </c>
      <c r="N48" s="168">
        <f t="shared" ref="N48:N53" si="40">(N38-B38)/B38</f>
        <v>0.16062735626277938</v>
      </c>
      <c r="O48" s="168">
        <f t="shared" ref="O48:O53" si="41">(O38-B38)/B38</f>
        <v>0.25515244225888956</v>
      </c>
      <c r="P48" s="168">
        <f t="shared" ref="P48:P53" si="42">(P38-B38)/B38</f>
        <v>0.2339072078363455</v>
      </c>
      <c r="Q48" s="168">
        <f t="shared" ref="Q48:Q53" si="43">(Q38-B38)/B38</f>
        <v>0.20993301012931767</v>
      </c>
      <c r="R48" s="168">
        <f t="shared" ref="R48:R53" si="44">(R38-B38)/B38</f>
        <v>0.19732251542502241</v>
      </c>
      <c r="S48" s="168">
        <f t="shared" ref="S48:S53" si="45">(S38-B38)/B38</f>
        <v>0.34164475351967966</v>
      </c>
    </row>
    <row r="49" spans="1:19" ht="15.75" thickTop="1" x14ac:dyDescent="0.25">
      <c r="A49" s="143" t="s">
        <v>197</v>
      </c>
      <c r="B49" s="147">
        <f t="shared" si="28"/>
        <v>0</v>
      </c>
      <c r="C49" s="147">
        <f t="shared" si="29"/>
        <v>3.7046463401270106E-3</v>
      </c>
      <c r="D49" s="147">
        <f t="shared" si="30"/>
        <v>8.7644869937401199E-2</v>
      </c>
      <c r="E49" s="147">
        <f t="shared" si="31"/>
        <v>3.9708476889207235E-2</v>
      </c>
      <c r="F49" s="147">
        <f t="shared" si="32"/>
        <v>3.0752684518018797E-3</v>
      </c>
      <c r="G49" s="147">
        <f t="shared" si="33"/>
        <v>9.5411662401448522E-2</v>
      </c>
      <c r="H49" s="147">
        <f t="shared" si="34"/>
        <v>7.3999561665139352E-2</v>
      </c>
      <c r="I49" s="147">
        <f t="shared" si="35"/>
        <v>0.13010045045321761</v>
      </c>
      <c r="J49" s="147">
        <f t="shared" si="36"/>
        <v>9.2023278402178554E-2</v>
      </c>
      <c r="K49" s="147">
        <f t="shared" si="37"/>
        <v>0.10322751000332493</v>
      </c>
      <c r="L49" s="147">
        <f t="shared" si="38"/>
        <v>6.99438368014412E-2</v>
      </c>
      <c r="M49" s="147">
        <f t="shared" si="39"/>
        <v>7.4654693684217122E-2</v>
      </c>
      <c r="N49" s="147">
        <f t="shared" si="40"/>
        <v>0.13282750265941248</v>
      </c>
      <c r="O49" s="147">
        <f t="shared" si="41"/>
        <v>0.20291366789535703</v>
      </c>
      <c r="P49" s="147">
        <f t="shared" si="42"/>
        <v>0.20506702231927329</v>
      </c>
      <c r="Q49" s="147">
        <f t="shared" si="43"/>
        <v>0.19850799295602939</v>
      </c>
      <c r="R49" s="147">
        <f t="shared" si="44"/>
        <v>0.23800534087349529</v>
      </c>
      <c r="S49" s="147">
        <f t="shared" si="45"/>
        <v>0.26899845320863225</v>
      </c>
    </row>
    <row r="50" spans="1:19" x14ac:dyDescent="0.25">
      <c r="A50" s="143" t="s">
        <v>198</v>
      </c>
      <c r="B50" s="147">
        <f t="shared" si="28"/>
        <v>0</v>
      </c>
      <c r="C50" s="147">
        <f t="shared" si="29"/>
        <v>6.3648119252203941E-2</v>
      </c>
      <c r="D50" s="147">
        <f t="shared" si="30"/>
        <v>0.10466605649952547</v>
      </c>
      <c r="E50" s="147">
        <f t="shared" si="31"/>
        <v>9.7821875880650069E-2</v>
      </c>
      <c r="F50" s="147">
        <f t="shared" si="32"/>
        <v>5.0394582336624576E-2</v>
      </c>
      <c r="G50" s="147">
        <f t="shared" si="33"/>
        <v>4.1224514241998959E-2</v>
      </c>
      <c r="H50" s="147">
        <f t="shared" si="34"/>
        <v>-6.3556746999639341E-2</v>
      </c>
      <c r="I50" s="147">
        <f t="shared" si="35"/>
        <v>-6.2118622181850179E-2</v>
      </c>
      <c r="J50" s="147">
        <f t="shared" si="36"/>
        <v>9.9231956161602089E-3</v>
      </c>
      <c r="K50" s="147">
        <f t="shared" si="37"/>
        <v>7.9988454663250275E-2</v>
      </c>
      <c r="L50" s="147">
        <f t="shared" si="38"/>
        <v>5.6783369435088556E-2</v>
      </c>
      <c r="M50" s="147">
        <f t="shared" si="39"/>
        <v>-1.4495151472744798E-2</v>
      </c>
      <c r="N50" s="147">
        <f t="shared" si="40"/>
        <v>6.9477575284901547E-2</v>
      </c>
      <c r="O50" s="147">
        <f t="shared" si="41"/>
        <v>7.7516246289638782E-2</v>
      </c>
      <c r="P50" s="147">
        <f t="shared" si="42"/>
        <v>0.16457371324854034</v>
      </c>
      <c r="Q50" s="147">
        <f t="shared" si="43"/>
        <v>0.17355925131724523</v>
      </c>
      <c r="R50" s="147">
        <f t="shared" si="44"/>
        <v>0.17072888034693284</v>
      </c>
      <c r="S50" s="147">
        <f t="shared" si="45"/>
        <v>0.34118522913788396</v>
      </c>
    </row>
    <row r="51" spans="1:19" x14ac:dyDescent="0.25">
      <c r="A51" s="143" t="s">
        <v>199</v>
      </c>
      <c r="B51" s="147">
        <f t="shared" si="28"/>
        <v>0</v>
      </c>
      <c r="C51" s="147">
        <f t="shared" si="29"/>
        <v>3.9100684261974619E-2</v>
      </c>
      <c r="D51" s="147">
        <f t="shared" si="30"/>
        <v>7.4291300097751686E-2</v>
      </c>
      <c r="E51" s="147">
        <f t="shared" si="31"/>
        <v>9.286412512218957E-2</v>
      </c>
      <c r="F51" s="147">
        <f t="shared" si="32"/>
        <v>0.11241446725317696</v>
      </c>
      <c r="G51" s="147">
        <f t="shared" si="33"/>
        <v>0.11143695014662744</v>
      </c>
      <c r="H51" s="147">
        <f t="shared" si="34"/>
        <v>0.15053763440860207</v>
      </c>
      <c r="I51" s="147">
        <f t="shared" si="35"/>
        <v>0.13782991202346043</v>
      </c>
      <c r="J51" s="147">
        <f t="shared" si="36"/>
        <v>0.14760508308895404</v>
      </c>
      <c r="K51" s="147">
        <f t="shared" si="37"/>
        <v>0.14662756598240467</v>
      </c>
      <c r="L51" s="147">
        <f t="shared" si="38"/>
        <v>0.17399804496578683</v>
      </c>
      <c r="M51" s="147">
        <f t="shared" si="39"/>
        <v>0.22678396871945261</v>
      </c>
      <c r="N51" s="147">
        <f t="shared" si="40"/>
        <v>0.28250244379276623</v>
      </c>
      <c r="O51" s="147">
        <f t="shared" si="41"/>
        <v>0.36559139784946237</v>
      </c>
      <c r="P51" s="147">
        <f t="shared" si="42"/>
        <v>0.42913000977517091</v>
      </c>
      <c r="Q51" s="147">
        <f t="shared" si="43"/>
        <v>0.48582600195503406</v>
      </c>
      <c r="R51" s="147">
        <f t="shared" si="44"/>
        <v>0.69892473118279552</v>
      </c>
      <c r="S51" s="147">
        <f t="shared" si="45"/>
        <v>0.71749755620723354</v>
      </c>
    </row>
    <row r="52" spans="1:19" x14ac:dyDescent="0.25">
      <c r="A52" s="143" t="s">
        <v>200</v>
      </c>
      <c r="B52" s="147">
        <f t="shared" si="28"/>
        <v>0</v>
      </c>
      <c r="C52" s="147">
        <f t="shared" si="29"/>
        <v>8.3723610748745195E-2</v>
      </c>
      <c r="D52" s="147">
        <f t="shared" si="30"/>
        <v>8.9076993440107402E-2</v>
      </c>
      <c r="E52" s="147">
        <f t="shared" si="31"/>
        <v>7.4477109329822197E-2</v>
      </c>
      <c r="F52" s="147">
        <f t="shared" si="32"/>
        <v>0.17758963281480691</v>
      </c>
      <c r="G52" s="147">
        <f t="shared" si="33"/>
        <v>0.14560958240375502</v>
      </c>
      <c r="H52" s="147">
        <f t="shared" si="34"/>
        <v>-1.8002974016562947E-2</v>
      </c>
      <c r="I52" s="147">
        <f t="shared" si="35"/>
        <v>5.2881678778435512E-2</v>
      </c>
      <c r="J52" s="147">
        <f t="shared" si="36"/>
        <v>-1.5034460796740014E-3</v>
      </c>
      <c r="K52" s="147">
        <f t="shared" si="37"/>
        <v>0.10356836164602674</v>
      </c>
      <c r="L52" s="147">
        <f t="shared" si="38"/>
        <v>9.3219508830577974E-2</v>
      </c>
      <c r="M52" s="147">
        <f t="shared" si="39"/>
        <v>9.6782021281155851E-4</v>
      </c>
      <c r="N52" s="147">
        <f t="shared" si="40"/>
        <v>-4.0055879354211926E-2</v>
      </c>
      <c r="O52" s="147">
        <f t="shared" si="41"/>
        <v>-1.6505061825887894E-2</v>
      </c>
      <c r="P52" s="147">
        <f t="shared" si="42"/>
        <v>0.21115637501962781</v>
      </c>
      <c r="Q52" s="147">
        <f t="shared" si="43"/>
        <v>0.24397268211394424</v>
      </c>
      <c r="R52" s="147">
        <f t="shared" si="44"/>
        <v>0.37723009870536323</v>
      </c>
      <c r="S52" s="147">
        <f t="shared" si="45"/>
        <v>0.4104176542386872</v>
      </c>
    </row>
    <row r="53" spans="1:19" x14ac:dyDescent="0.25">
      <c r="A53" s="143" t="s">
        <v>201</v>
      </c>
      <c r="B53" s="147">
        <f t="shared" si="28"/>
        <v>0</v>
      </c>
      <c r="C53" s="147">
        <f t="shared" si="29"/>
        <v>1.2017167381974145E-2</v>
      </c>
      <c r="D53" s="147">
        <f t="shared" si="30"/>
        <v>2.1459227467811159E-2</v>
      </c>
      <c r="E53" s="147">
        <f t="shared" si="31"/>
        <v>5.1502145922746746E-2</v>
      </c>
      <c r="F53" s="147">
        <f t="shared" si="32"/>
        <v>7.2103004291845477E-2</v>
      </c>
      <c r="G53" s="147">
        <f t="shared" si="33"/>
        <v>9.6137339055793927E-2</v>
      </c>
      <c r="H53" s="147">
        <f t="shared" si="34"/>
        <v>0.12961373390557937</v>
      </c>
      <c r="I53" s="147">
        <f t="shared" si="35"/>
        <v>0.14163090128755368</v>
      </c>
      <c r="J53" s="147">
        <f t="shared" si="36"/>
        <v>0.16995708154506442</v>
      </c>
      <c r="K53" s="147">
        <f t="shared" si="37"/>
        <v>0.19399141630901284</v>
      </c>
      <c r="L53" s="147">
        <f t="shared" si="38"/>
        <v>0.24549356223175961</v>
      </c>
      <c r="M53" s="147">
        <f t="shared" si="39"/>
        <v>0.30214592274678109</v>
      </c>
      <c r="N53" s="147">
        <f t="shared" si="40"/>
        <v>0.33390557939914151</v>
      </c>
      <c r="O53" s="147">
        <f t="shared" si="41"/>
        <v>0.37253218884120171</v>
      </c>
      <c r="P53" s="147">
        <f t="shared" si="42"/>
        <v>0.40858369098712444</v>
      </c>
      <c r="Q53" s="147">
        <f t="shared" si="43"/>
        <v>0.47038626609442047</v>
      </c>
      <c r="R53" s="147">
        <f t="shared" si="44"/>
        <v>0.54420600858369084</v>
      </c>
      <c r="S53" s="147">
        <f t="shared" si="45"/>
        <v>0.6</v>
      </c>
    </row>
    <row r="54" spans="1:19" x14ac:dyDescent="0.25">
      <c r="D54" s="12"/>
      <c r="E54"/>
      <c r="O54" s="10"/>
      <c r="P54"/>
    </row>
    <row r="55" spans="1:19" x14ac:dyDescent="0.25">
      <c r="D55" s="12"/>
      <c r="E55"/>
      <c r="O55" s="10"/>
      <c r="P55"/>
    </row>
    <row r="56" spans="1:19" x14ac:dyDescent="0.25">
      <c r="D56" s="12"/>
      <c r="E56"/>
      <c r="O56" s="10"/>
      <c r="P56"/>
    </row>
  </sheetData>
  <sortState xmlns:xlrd2="http://schemas.microsoft.com/office/spreadsheetml/2017/richdata2" ref="Y38:AA43">
    <sortCondition ref="AA38:AA43"/>
  </sortState>
  <mergeCells count="12">
    <mergeCell ref="A17:W17"/>
    <mergeCell ref="A27:W27"/>
    <mergeCell ref="A36:S36"/>
    <mergeCell ref="A46:S46"/>
    <mergeCell ref="A1:Z1"/>
    <mergeCell ref="A5:A6"/>
    <mergeCell ref="B5:B6"/>
    <mergeCell ref="C5:C6"/>
    <mergeCell ref="E5:F5"/>
    <mergeCell ref="G5:H5"/>
    <mergeCell ref="A4:H4"/>
    <mergeCell ref="D5:D6"/>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81A95-3D3B-4DCD-A7C2-F641E9BD8758}">
  <sheetPr>
    <tabColor rgb="FFA2AE74"/>
  </sheetPr>
  <dimension ref="A1:AI18"/>
  <sheetViews>
    <sheetView zoomScaleNormal="100" workbookViewId="0">
      <selection activeCell="A2" sqref="A2"/>
    </sheetView>
  </sheetViews>
  <sheetFormatPr defaultColWidth="9.140625" defaultRowHeight="14.25" x14ac:dyDescent="0.2"/>
  <cols>
    <col min="1" max="1" width="28.28515625" style="1" customWidth="1"/>
    <col min="2" max="2" width="8.140625" style="1" customWidth="1"/>
    <col min="3" max="3" width="35.7109375" style="1" bestFit="1" customWidth="1"/>
    <col min="4" max="4" width="9.140625" style="39" bestFit="1" customWidth="1"/>
    <col min="5" max="5" width="10.7109375" style="1" customWidth="1"/>
    <col min="6" max="8" width="8.140625" style="1" bestFit="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209</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4" spans="1:27" ht="15" x14ac:dyDescent="0.25">
      <c r="A4" s="320" t="s">
        <v>210</v>
      </c>
      <c r="B4" s="320"/>
      <c r="C4" s="320"/>
      <c r="D4" s="320"/>
    </row>
    <row r="5" spans="1:27" ht="15" x14ac:dyDescent="0.25">
      <c r="A5" s="321" t="s">
        <v>211</v>
      </c>
      <c r="B5" s="322"/>
      <c r="C5" s="321" t="s">
        <v>212</v>
      </c>
      <c r="D5" s="321"/>
    </row>
    <row r="6" spans="1:27" x14ac:dyDescent="0.2">
      <c r="A6" s="154" t="s">
        <v>213</v>
      </c>
      <c r="B6" s="155" t="s">
        <v>194</v>
      </c>
      <c r="C6" s="154" t="s">
        <v>213</v>
      </c>
      <c r="D6" s="156" t="s">
        <v>194</v>
      </c>
    </row>
    <row r="7" spans="1:27" x14ac:dyDescent="0.2">
      <c r="A7" s="1" t="s">
        <v>214</v>
      </c>
      <c r="B7" s="157">
        <f>5128/24750</f>
        <v>0.2071919191919192</v>
      </c>
      <c r="C7" s="1" t="s">
        <v>214</v>
      </c>
      <c r="D7" s="158">
        <f>3702/24750</f>
        <v>0.14957575757575758</v>
      </c>
    </row>
    <row r="8" spans="1:27" x14ac:dyDescent="0.2">
      <c r="A8" s="1" t="s">
        <v>215</v>
      </c>
      <c r="B8" s="157">
        <f>3338/24750</f>
        <v>0.13486868686868686</v>
      </c>
      <c r="C8" s="1" t="s">
        <v>215</v>
      </c>
      <c r="D8" s="158">
        <f>3569/24750</f>
        <v>0.14420202020202019</v>
      </c>
    </row>
    <row r="9" spans="1:27" x14ac:dyDescent="0.2">
      <c r="A9" s="1" t="s">
        <v>216</v>
      </c>
      <c r="B9" s="157">
        <f>2099/24750</f>
        <v>8.4808080808080805E-2</v>
      </c>
      <c r="C9" s="1" t="s">
        <v>217</v>
      </c>
      <c r="D9" s="158">
        <f>2798/24750</f>
        <v>0.11305050505050505</v>
      </c>
    </row>
    <row r="10" spans="1:27" x14ac:dyDescent="0.2">
      <c r="A10" s="1" t="s">
        <v>217</v>
      </c>
      <c r="B10" s="157">
        <f>1874/24750</f>
        <v>7.5717171717171711E-2</v>
      </c>
      <c r="C10" s="1" t="s">
        <v>218</v>
      </c>
      <c r="D10" s="158">
        <f>2513/24750</f>
        <v>0.10153535353535353</v>
      </c>
    </row>
    <row r="11" spans="1:27" x14ac:dyDescent="0.2">
      <c r="A11" s="1" t="s">
        <v>219</v>
      </c>
      <c r="B11" s="157">
        <f>1685/24750</f>
        <v>6.8080808080808075E-2</v>
      </c>
      <c r="C11" s="1" t="s">
        <v>220</v>
      </c>
      <c r="D11" s="158">
        <f>2475/24750</f>
        <v>0.1</v>
      </c>
    </row>
    <row r="12" spans="1:27" x14ac:dyDescent="0.2">
      <c r="A12" s="1" t="s">
        <v>220</v>
      </c>
      <c r="B12" s="157">
        <f>1661/24750</f>
        <v>6.7111111111111107E-2</v>
      </c>
      <c r="C12" s="1" t="s">
        <v>216</v>
      </c>
      <c r="D12" s="158">
        <f>2296/24750</f>
        <v>9.2767676767676763E-2</v>
      </c>
    </row>
    <row r="13" spans="1:27" x14ac:dyDescent="0.2">
      <c r="A13" s="1" t="s">
        <v>221</v>
      </c>
      <c r="B13" s="157">
        <f>1642/24750</f>
        <v>6.6343434343434343E-2</v>
      </c>
      <c r="C13" s="1" t="s">
        <v>222</v>
      </c>
      <c r="D13" s="158">
        <f>2164/24750</f>
        <v>8.7434343434343434E-2</v>
      </c>
    </row>
    <row r="14" spans="1:27" x14ac:dyDescent="0.2">
      <c r="A14" s="1" t="s">
        <v>218</v>
      </c>
      <c r="B14" s="157">
        <f>1626/24750</f>
        <v>6.5696969696969698E-2</v>
      </c>
      <c r="C14" s="1" t="s">
        <v>223</v>
      </c>
      <c r="D14" s="158">
        <f>1777/24750</f>
        <v>7.1797979797979791E-2</v>
      </c>
    </row>
    <row r="15" spans="1:27" x14ac:dyDescent="0.2">
      <c r="A15" s="1" t="s">
        <v>224</v>
      </c>
      <c r="B15" s="157">
        <f>1601/24750</f>
        <v>6.4686868686868682E-2</v>
      </c>
      <c r="C15" s="1" t="s">
        <v>219</v>
      </c>
      <c r="D15" s="158">
        <f>1765/24750</f>
        <v>7.1313131313131314E-2</v>
      </c>
    </row>
    <row r="16" spans="1:27" x14ac:dyDescent="0.2">
      <c r="A16" s="1" t="s">
        <v>222</v>
      </c>
      <c r="B16" s="157">
        <f>1460/24750</f>
        <v>5.8989898989898988E-2</v>
      </c>
      <c r="C16" s="1" t="s">
        <v>225</v>
      </c>
      <c r="D16" s="158">
        <f>1691/24750</f>
        <v>6.8323232323232327E-2</v>
      </c>
    </row>
    <row r="18" spans="2:2" x14ac:dyDescent="0.2">
      <c r="B18" s="159"/>
    </row>
  </sheetData>
  <mergeCells count="4">
    <mergeCell ref="A1:AA1"/>
    <mergeCell ref="A4:D4"/>
    <mergeCell ref="A5:B5"/>
    <mergeCell ref="C5:D5"/>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DDDFD-9B67-4F2B-8727-765B8EAA36DC}">
  <sheetPr>
    <tabColor rgb="FFA2AE74"/>
  </sheetPr>
  <dimension ref="A1:AJ23"/>
  <sheetViews>
    <sheetView zoomScaleNormal="100" workbookViewId="0">
      <selection activeCell="A3" sqref="A3:W3"/>
    </sheetView>
  </sheetViews>
  <sheetFormatPr defaultColWidth="9.140625" defaultRowHeight="14.25" x14ac:dyDescent="0.2"/>
  <cols>
    <col min="1" max="1" width="28.28515625" style="1" customWidth="1"/>
    <col min="2" max="3" width="10.140625" style="1" bestFit="1" customWidth="1"/>
    <col min="4" max="4" width="10.140625" style="39" bestFit="1" customWidth="1"/>
    <col min="5" max="5" width="10.7109375" style="1" customWidth="1"/>
    <col min="6" max="14" width="10.140625" style="1" bestFit="1" customWidth="1"/>
    <col min="15" max="15" width="10.140625" style="40" bestFit="1" customWidth="1"/>
    <col min="16" max="23" width="10.140625" style="1" bestFit="1" customWidth="1"/>
    <col min="24" max="24" width="9.140625" style="1" customWidth="1"/>
    <col min="25" max="26" width="6.85546875" style="1" customWidth="1"/>
    <col min="27" max="27" width="7.42578125" style="1" bestFit="1" customWidth="1"/>
    <col min="28" max="31" width="9.140625" style="1"/>
    <col min="32" max="32" width="10.140625" style="1" bestFit="1" customWidth="1"/>
    <col min="33" max="34" width="9.140625" style="1"/>
    <col min="35" max="35" width="33.5703125" style="1" customWidth="1"/>
    <col min="36" max="36" width="2.85546875" style="84" customWidth="1"/>
    <col min="37" max="16384" width="9.140625" style="1"/>
  </cols>
  <sheetData>
    <row r="1" spans="1:28" ht="23.25" x14ac:dyDescent="0.35">
      <c r="A1" s="262" t="s">
        <v>226</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c r="AB1" s="262"/>
    </row>
    <row r="3" spans="1:28" ht="15.75" x14ac:dyDescent="0.25">
      <c r="A3" s="315" t="s">
        <v>227</v>
      </c>
      <c r="B3" s="315"/>
      <c r="C3" s="315"/>
      <c r="D3" s="315"/>
      <c r="E3" s="315"/>
      <c r="F3" s="315"/>
      <c r="G3" s="315"/>
      <c r="H3" s="315"/>
      <c r="I3" s="315"/>
      <c r="J3" s="315"/>
      <c r="K3" s="315"/>
      <c r="L3" s="315"/>
      <c r="M3" s="315"/>
      <c r="N3" s="315"/>
      <c r="O3" s="315"/>
      <c r="P3" s="315"/>
      <c r="Q3" s="315"/>
      <c r="R3" s="315"/>
      <c r="S3" s="315"/>
      <c r="T3" s="315"/>
      <c r="U3" s="315"/>
      <c r="V3" s="315"/>
      <c r="W3" s="315"/>
      <c r="X3" s="142"/>
    </row>
    <row r="4" spans="1:28" x14ac:dyDescent="0.2">
      <c r="A4" s="190" t="s">
        <v>188</v>
      </c>
      <c r="B4" s="191">
        <v>2001</v>
      </c>
      <c r="C4" s="191">
        <v>2002</v>
      </c>
      <c r="D4" s="191">
        <v>2003</v>
      </c>
      <c r="E4" s="191">
        <v>2004</v>
      </c>
      <c r="F4" s="191">
        <v>2005</v>
      </c>
      <c r="G4" s="191">
        <v>2006</v>
      </c>
      <c r="H4" s="191">
        <v>2007</v>
      </c>
      <c r="I4" s="191">
        <v>2008</v>
      </c>
      <c r="J4" s="191">
        <v>2009</v>
      </c>
      <c r="K4" s="191">
        <v>2010</v>
      </c>
      <c r="L4" s="191">
        <v>2011</v>
      </c>
      <c r="M4" s="191">
        <v>2012</v>
      </c>
      <c r="N4" s="191">
        <v>2013</v>
      </c>
      <c r="O4" s="191">
        <v>2014</v>
      </c>
      <c r="P4" s="191">
        <v>2015</v>
      </c>
      <c r="Q4" s="191">
        <v>2016</v>
      </c>
      <c r="R4" s="191">
        <v>2017</v>
      </c>
      <c r="S4" s="191">
        <v>2018</v>
      </c>
      <c r="T4" s="191">
        <v>2019</v>
      </c>
      <c r="U4" s="191">
        <v>2020</v>
      </c>
      <c r="V4" s="191">
        <v>2021</v>
      </c>
      <c r="W4" s="191">
        <v>2022</v>
      </c>
      <c r="X4" s="142"/>
    </row>
    <row r="5" spans="1:28" x14ac:dyDescent="0.2">
      <c r="A5" s="143" t="s">
        <v>1</v>
      </c>
      <c r="B5" s="144">
        <v>10223.878244699999</v>
      </c>
      <c r="C5" s="144">
        <v>10406.3483512</v>
      </c>
      <c r="D5" s="144">
        <v>10426.300502</v>
      </c>
      <c r="E5" s="144">
        <v>10325.835215200001</v>
      </c>
      <c r="F5" s="144">
        <v>10337.8251642</v>
      </c>
      <c r="G5" s="144">
        <v>10431.0832467</v>
      </c>
      <c r="H5" s="144">
        <v>10415.613489199999</v>
      </c>
      <c r="I5" s="144">
        <v>10318.4262389</v>
      </c>
      <c r="J5" s="144">
        <v>10080.554326699999</v>
      </c>
      <c r="K5" s="144">
        <v>9843.7264589000006</v>
      </c>
      <c r="L5" s="144">
        <v>9401.7835870899999</v>
      </c>
      <c r="M5" s="144">
        <v>9154.3144978100008</v>
      </c>
      <c r="N5" s="144">
        <v>9293.6152576799996</v>
      </c>
      <c r="O5" s="144">
        <v>9242.5260605599997</v>
      </c>
      <c r="P5" s="144">
        <v>9752.3197509099991</v>
      </c>
      <c r="Q5" s="144">
        <v>10444.903679700001</v>
      </c>
      <c r="R5" s="144">
        <v>11289.819695599999</v>
      </c>
      <c r="S5" s="144">
        <v>11564.178667800001</v>
      </c>
      <c r="T5" s="144">
        <v>11861.5368174</v>
      </c>
      <c r="U5" s="144">
        <v>9920.1906641900005</v>
      </c>
      <c r="V5" s="144">
        <v>10222.8116157</v>
      </c>
      <c r="W5" s="144">
        <v>10464.968896099999</v>
      </c>
      <c r="X5" s="145"/>
    </row>
    <row r="6" spans="1:28" x14ac:dyDescent="0.2">
      <c r="A6" s="143" t="s">
        <v>228</v>
      </c>
      <c r="B6" s="144">
        <v>417376</v>
      </c>
      <c r="C6" s="144">
        <v>431280</v>
      </c>
      <c r="D6" s="144">
        <v>437127</v>
      </c>
      <c r="E6" s="144">
        <v>438787</v>
      </c>
      <c r="F6" s="144">
        <v>443404</v>
      </c>
      <c r="G6" s="144">
        <v>460455</v>
      </c>
      <c r="H6" s="144">
        <v>481816</v>
      </c>
      <c r="I6" s="144">
        <v>490798</v>
      </c>
      <c r="J6" s="144">
        <v>481072</v>
      </c>
      <c r="K6" s="144">
        <v>462439</v>
      </c>
      <c r="L6" s="144">
        <v>432777</v>
      </c>
      <c r="M6" s="144">
        <v>461993</v>
      </c>
      <c r="N6" s="144">
        <v>437273</v>
      </c>
      <c r="O6" s="144">
        <v>439688</v>
      </c>
      <c r="P6" s="144">
        <v>455541</v>
      </c>
      <c r="Q6" s="144">
        <v>471603</v>
      </c>
      <c r="R6" s="144">
        <v>495590</v>
      </c>
      <c r="S6" s="144">
        <v>508667</v>
      </c>
      <c r="T6" s="144">
        <v>525179</v>
      </c>
      <c r="U6" s="144">
        <v>459262</v>
      </c>
      <c r="V6" s="144">
        <v>484541</v>
      </c>
      <c r="W6" s="144">
        <v>506315</v>
      </c>
      <c r="X6" s="145"/>
    </row>
    <row r="7" spans="1:28" ht="15.75" x14ac:dyDescent="0.25">
      <c r="A7" s="142"/>
      <c r="B7" s="142"/>
      <c r="C7" s="142"/>
      <c r="D7" s="142"/>
      <c r="E7" s="142"/>
      <c r="F7" s="142"/>
      <c r="G7" s="142"/>
      <c r="H7" s="142"/>
      <c r="I7" s="142"/>
      <c r="J7" s="142"/>
      <c r="K7" s="142"/>
      <c r="L7" s="142"/>
      <c r="M7" s="142"/>
      <c r="N7" s="142"/>
      <c r="O7" s="142"/>
      <c r="P7" s="142"/>
      <c r="Q7" s="142"/>
      <c r="R7" s="142"/>
      <c r="S7" s="142"/>
      <c r="T7" s="142"/>
      <c r="U7" s="142"/>
      <c r="V7" s="142"/>
      <c r="W7" s="142"/>
      <c r="X7" s="145"/>
      <c r="Y7" s="149"/>
      <c r="Z7" s="148"/>
    </row>
    <row r="8" spans="1:28" x14ac:dyDescent="0.2">
      <c r="A8" s="142"/>
      <c r="B8" s="142"/>
      <c r="C8" s="142"/>
      <c r="D8" s="142"/>
      <c r="E8" s="142"/>
      <c r="F8" s="142"/>
      <c r="G8" s="142"/>
      <c r="H8" s="142"/>
      <c r="I8" s="142"/>
      <c r="J8" s="142"/>
      <c r="K8" s="142"/>
      <c r="L8" s="142"/>
      <c r="M8" s="142"/>
      <c r="N8" s="142"/>
      <c r="O8" s="142"/>
      <c r="P8" s="142"/>
      <c r="Q8" s="142"/>
      <c r="R8" s="142"/>
      <c r="S8" s="142"/>
      <c r="T8" s="142"/>
      <c r="U8" s="142"/>
      <c r="V8" s="142"/>
      <c r="W8" s="142"/>
    </row>
    <row r="9" spans="1:28" ht="15.75" x14ac:dyDescent="0.25">
      <c r="A9" s="315" t="s">
        <v>229</v>
      </c>
      <c r="B9" s="315"/>
      <c r="C9" s="315"/>
      <c r="D9" s="315"/>
      <c r="E9" s="315"/>
      <c r="F9" s="315"/>
      <c r="G9" s="315"/>
      <c r="H9" s="315"/>
      <c r="I9" s="315"/>
      <c r="J9" s="315"/>
      <c r="K9" s="315"/>
      <c r="L9" s="315"/>
      <c r="M9" s="315"/>
      <c r="N9" s="315"/>
      <c r="O9" s="315"/>
      <c r="P9" s="315"/>
      <c r="Q9" s="315"/>
      <c r="R9" s="315"/>
      <c r="S9" s="315"/>
      <c r="T9" s="315"/>
      <c r="U9" s="315"/>
      <c r="V9" s="315"/>
      <c r="W9" s="315"/>
    </row>
    <row r="10" spans="1:28" x14ac:dyDescent="0.2">
      <c r="A10" s="190" t="s">
        <v>188</v>
      </c>
      <c r="B10" s="191">
        <v>2001</v>
      </c>
      <c r="C10" s="191">
        <v>2002</v>
      </c>
      <c r="D10" s="191">
        <v>2003</v>
      </c>
      <c r="E10" s="191">
        <v>2004</v>
      </c>
      <c r="F10" s="191">
        <v>2005</v>
      </c>
      <c r="G10" s="191">
        <v>2006</v>
      </c>
      <c r="H10" s="191">
        <v>2007</v>
      </c>
      <c r="I10" s="191">
        <v>2008</v>
      </c>
      <c r="J10" s="191">
        <v>2009</v>
      </c>
      <c r="K10" s="191">
        <v>2010</v>
      </c>
      <c r="L10" s="191">
        <v>2011</v>
      </c>
      <c r="M10" s="191">
        <v>2012</v>
      </c>
      <c r="N10" s="191">
        <v>2013</v>
      </c>
      <c r="O10" s="191">
        <v>2014</v>
      </c>
      <c r="P10" s="191">
        <v>2015</v>
      </c>
      <c r="Q10" s="191">
        <v>2016</v>
      </c>
      <c r="R10" s="191">
        <v>2017</v>
      </c>
      <c r="S10" s="191">
        <v>2018</v>
      </c>
      <c r="T10" s="191">
        <v>2019</v>
      </c>
      <c r="U10" s="191">
        <v>2020</v>
      </c>
      <c r="V10" s="191">
        <v>2021</v>
      </c>
      <c r="W10" s="191">
        <v>2022</v>
      </c>
    </row>
    <row r="11" spans="1:28" x14ac:dyDescent="0.2">
      <c r="A11" s="143" t="s">
        <v>1</v>
      </c>
      <c r="B11" s="171">
        <f>(B5-B5)/B5</f>
        <v>0</v>
      </c>
      <c r="C11" s="171">
        <f>(C5-B5)/B5</f>
        <v>1.7847445180070715E-2</v>
      </c>
      <c r="D11" s="171">
        <f>(D5-B5)/B5</f>
        <v>1.9798969867910465E-2</v>
      </c>
      <c r="E11" s="171">
        <f>(E5-B5)/B5</f>
        <v>9.9724359054114489E-3</v>
      </c>
      <c r="F11" s="171">
        <f>(F5-B5)/B5</f>
        <v>1.1145175712462107E-2</v>
      </c>
      <c r="G11" s="171">
        <f>(G5-B5)/B5</f>
        <v>2.0266771281965777E-2</v>
      </c>
      <c r="H11" s="171">
        <f>(H5-B5)/B5</f>
        <v>1.8753670565217671E-2</v>
      </c>
      <c r="I11" s="171">
        <f>(I5-B5)/B5</f>
        <v>9.2477621443715179E-3</v>
      </c>
      <c r="J11" s="171">
        <f>(J5-B5)/B5</f>
        <v>-1.4018547029773008E-2</v>
      </c>
      <c r="K11" s="171">
        <f>(K5-B5)/B5</f>
        <v>-3.7182737969035123E-2</v>
      </c>
      <c r="L11" s="171">
        <f>(L5-B5)/B5</f>
        <v>-8.0409276982163672E-2</v>
      </c>
      <c r="M11" s="171">
        <f>(M5-B5)/B5</f>
        <v>-0.10461428836405151</v>
      </c>
      <c r="N11" s="171">
        <f>(N5-B5)/B5</f>
        <v>-9.0989247402495518E-2</v>
      </c>
      <c r="O11" s="171">
        <f>(O5-B5)/B5</f>
        <v>-9.5986294109940834E-2</v>
      </c>
      <c r="P11" s="171">
        <f>(P5-B5)/B5</f>
        <v>-4.6123250150641566E-2</v>
      </c>
      <c r="Q11" s="171">
        <f>(Q5-B5)/B5</f>
        <v>2.1618551171086148E-2</v>
      </c>
      <c r="R11" s="171">
        <f>(R5-B5)/B5</f>
        <v>0.10425999071854927</v>
      </c>
      <c r="S11" s="171">
        <f>(S5-B5)/B5</f>
        <v>0.13109510804227403</v>
      </c>
      <c r="T11" s="171">
        <f>(T5-B5)/B5</f>
        <v>0.16017978046138734</v>
      </c>
      <c r="U11" s="171">
        <f>(U5-B5)/B5</f>
        <v>-2.9703755584866133E-2</v>
      </c>
      <c r="V11" s="171">
        <f>(V5-B5)/B5</f>
        <v>-1.0432724006195455E-4</v>
      </c>
      <c r="W11" s="171">
        <f>(W5-B5)/B5</f>
        <v>2.3581134832565114E-2</v>
      </c>
    </row>
    <row r="12" spans="1:28" x14ac:dyDescent="0.2">
      <c r="A12" s="143" t="s">
        <v>228</v>
      </c>
      <c r="B12" s="171">
        <f>(B6-B6)/B6</f>
        <v>0</v>
      </c>
      <c r="C12" s="171">
        <f>(C6-B6)/B6</f>
        <v>3.3312888139231771E-2</v>
      </c>
      <c r="D12" s="171">
        <f>(D6-B6)/B6</f>
        <v>4.7321839300774361E-2</v>
      </c>
      <c r="E12" s="171">
        <f>(E6-B6)/B6</f>
        <v>5.1299068465843749E-2</v>
      </c>
      <c r="F12" s="171">
        <f>(F6-B6)/B6</f>
        <v>6.2361036571340948E-2</v>
      </c>
      <c r="G12" s="171">
        <f>(G6-B6)/B6</f>
        <v>0.10321388867591812</v>
      </c>
      <c r="H12" s="171">
        <f>(H6-B6)/B6</f>
        <v>0.15439316108257303</v>
      </c>
      <c r="I12" s="171">
        <f>(I6-B6)/B6</f>
        <v>0.17591332515525571</v>
      </c>
      <c r="J12" s="171">
        <f>(J6-B6)/B6</f>
        <v>0.15261059572184313</v>
      </c>
      <c r="K12" s="171">
        <f>(K6-B6)/B6</f>
        <v>0.10796739630453117</v>
      </c>
      <c r="L12" s="171">
        <f>(L6-B6)/B6</f>
        <v>3.6899582151345547E-2</v>
      </c>
      <c r="M12" s="171">
        <f>(M6-B6)/B6</f>
        <v>0.10689881545656674</v>
      </c>
      <c r="N12" s="171">
        <f>(N6-B6)/B6</f>
        <v>4.7671643793605764E-2</v>
      </c>
      <c r="O12" s="171">
        <f>(O6-B6)/B6</f>
        <v>5.3457793452426586E-2</v>
      </c>
      <c r="P12" s="171">
        <f>(P6-B6)/B6</f>
        <v>9.1440331978839218E-2</v>
      </c>
      <c r="Q12" s="171">
        <f>(Q6-B6)/B6</f>
        <v>0.1299236180326612</v>
      </c>
      <c r="R12" s="171">
        <f>(R6-B6)/B6</f>
        <v>0.18739457946791382</v>
      </c>
      <c r="S12" s="171">
        <f>(S6-B6)/B6</f>
        <v>0.21872604078816224</v>
      </c>
      <c r="T12" s="171">
        <f>(T6-B6)/B6</f>
        <v>0.25828749137468376</v>
      </c>
      <c r="U12" s="171">
        <f>(U6-B6)/B6</f>
        <v>0.10035555470367247</v>
      </c>
      <c r="V12" s="171">
        <f>(V6-B6)/B6</f>
        <v>0.16092204630836465</v>
      </c>
      <c r="W12" s="171">
        <f>(W6-B6)/B6</f>
        <v>0.21309083416391936</v>
      </c>
    </row>
    <row r="14" spans="1:28" ht="15.75" x14ac:dyDescent="0.25">
      <c r="A14" s="315" t="s">
        <v>230</v>
      </c>
      <c r="B14" s="315"/>
      <c r="C14" s="315"/>
      <c r="D14" s="315"/>
      <c r="E14" s="315"/>
      <c r="F14" s="315"/>
      <c r="G14" s="315"/>
      <c r="H14" s="315"/>
      <c r="I14" s="315"/>
      <c r="J14" s="315"/>
      <c r="K14" s="315"/>
      <c r="L14" s="315"/>
      <c r="M14" s="315"/>
      <c r="N14" s="315"/>
      <c r="O14" s="315"/>
      <c r="P14" s="315"/>
      <c r="Q14" s="315"/>
      <c r="R14" s="315"/>
      <c r="S14" s="315"/>
      <c r="T14"/>
      <c r="U14"/>
      <c r="V14"/>
      <c r="W14"/>
    </row>
    <row r="15" spans="1:28" ht="15" x14ac:dyDescent="0.25">
      <c r="A15" s="190" t="s">
        <v>188</v>
      </c>
      <c r="B15" s="191">
        <v>2005</v>
      </c>
      <c r="C15" s="191">
        <v>2006</v>
      </c>
      <c r="D15" s="191">
        <v>2007</v>
      </c>
      <c r="E15" s="191">
        <v>2008</v>
      </c>
      <c r="F15" s="191">
        <v>2009</v>
      </c>
      <c r="G15" s="191">
        <v>2010</v>
      </c>
      <c r="H15" s="191">
        <v>2011</v>
      </c>
      <c r="I15" s="191">
        <v>2012</v>
      </c>
      <c r="J15" s="191">
        <v>2013</v>
      </c>
      <c r="K15" s="191">
        <v>2014</v>
      </c>
      <c r="L15" s="191">
        <v>2015</v>
      </c>
      <c r="M15" s="191">
        <v>2016</v>
      </c>
      <c r="N15" s="191">
        <v>2017</v>
      </c>
      <c r="O15" s="191">
        <v>2018</v>
      </c>
      <c r="P15" s="191">
        <v>2019</v>
      </c>
      <c r="Q15" s="191">
        <v>2020</v>
      </c>
      <c r="R15" s="191">
        <v>2021</v>
      </c>
      <c r="S15" s="191">
        <v>2022</v>
      </c>
      <c r="T15"/>
      <c r="U15"/>
      <c r="V15"/>
      <c r="W15"/>
    </row>
    <row r="16" spans="1:28" ht="15" x14ac:dyDescent="0.25">
      <c r="A16" s="143" t="s">
        <v>1</v>
      </c>
      <c r="B16" s="150">
        <v>11.950703619</v>
      </c>
      <c r="C16" s="150">
        <v>12.7218602584</v>
      </c>
      <c r="D16" s="150">
        <v>13.450546281499999</v>
      </c>
      <c r="E16" s="150">
        <v>13.4149667769</v>
      </c>
      <c r="F16" s="150">
        <v>13.5452090059</v>
      </c>
      <c r="G16" s="150">
        <v>13.3002916718</v>
      </c>
      <c r="H16" s="150">
        <v>14.7625792061</v>
      </c>
      <c r="I16" s="150">
        <v>14.240575402799999</v>
      </c>
      <c r="J16" s="150">
        <v>13.6809499044</v>
      </c>
      <c r="K16" s="150">
        <v>13.1296714025</v>
      </c>
      <c r="L16" s="150">
        <v>13.243366787699999</v>
      </c>
      <c r="M16" s="150">
        <v>13.2414405317</v>
      </c>
      <c r="N16" s="150">
        <v>13.8703135468</v>
      </c>
      <c r="O16" s="150">
        <v>14.9999548341</v>
      </c>
      <c r="P16" s="150">
        <v>14.7460593342</v>
      </c>
      <c r="Q16" s="150">
        <v>14.459550802900001</v>
      </c>
      <c r="R16" s="150">
        <v>14.308846518199999</v>
      </c>
      <c r="S16" s="151">
        <v>16.033598811299999</v>
      </c>
      <c r="T16"/>
      <c r="U16"/>
      <c r="V16"/>
      <c r="W16"/>
    </row>
    <row r="17" spans="1:23" ht="15" x14ac:dyDescent="0.25">
      <c r="A17" s="143" t="s">
        <v>228</v>
      </c>
      <c r="B17" s="150">
        <v>9.1469948142750006</v>
      </c>
      <c r="C17" s="150">
        <v>9.4138598378600005</v>
      </c>
      <c r="D17" s="150">
        <v>9.6571817522999996</v>
      </c>
      <c r="E17" s="150">
        <v>9.9829763805249989</v>
      </c>
      <c r="F17" s="150">
        <v>10.236425033749999</v>
      </c>
      <c r="G17" s="150">
        <v>10.586753305535002</v>
      </c>
      <c r="H17" s="150">
        <v>10.868000803305002</v>
      </c>
      <c r="I17" s="150">
        <v>11.029074677535</v>
      </c>
      <c r="J17" s="150">
        <v>11.18556834278</v>
      </c>
      <c r="K17" s="150">
        <v>11.365397242075</v>
      </c>
      <c r="L17" s="150">
        <v>11.608575985485</v>
      </c>
      <c r="M17" s="150">
        <v>11.855303834364999</v>
      </c>
      <c r="N17" s="150">
        <v>12.15442310145</v>
      </c>
      <c r="O17" s="150">
        <v>12.564287656449999</v>
      </c>
      <c r="P17" s="150">
        <v>12.98715874735</v>
      </c>
      <c r="Q17" s="150">
        <v>13.501677372250001</v>
      </c>
      <c r="R17" s="150">
        <v>13.546109894800001</v>
      </c>
      <c r="S17" s="151">
        <v>14.91118134925</v>
      </c>
      <c r="T17"/>
      <c r="U17"/>
      <c r="V17"/>
      <c r="W17"/>
    </row>
    <row r="18" spans="1:23" ht="15" x14ac:dyDescent="0.25">
      <c r="B18" s="46"/>
      <c r="C18" s="46"/>
      <c r="D18" s="46"/>
      <c r="E18" s="46"/>
      <c r="F18" s="46"/>
      <c r="G18" s="46"/>
      <c r="H18" s="46"/>
      <c r="I18" s="46"/>
      <c r="J18" s="46"/>
      <c r="K18" s="46"/>
      <c r="L18" s="46"/>
      <c r="M18" s="46"/>
      <c r="N18" s="46"/>
      <c r="O18" s="46"/>
      <c r="P18" s="46"/>
      <c r="Q18" s="46"/>
      <c r="R18" s="46"/>
      <c r="S18" s="46"/>
      <c r="T18"/>
      <c r="U18"/>
      <c r="V18"/>
      <c r="W18"/>
    </row>
    <row r="19" spans="1:23" ht="15" x14ac:dyDescent="0.25">
      <c r="D19" s="1"/>
      <c r="K19" s="40"/>
      <c r="O19" s="1"/>
      <c r="T19"/>
      <c r="U19"/>
      <c r="V19"/>
      <c r="W19"/>
    </row>
    <row r="20" spans="1:23" ht="15.75" x14ac:dyDescent="0.25">
      <c r="A20" s="315" t="s">
        <v>231</v>
      </c>
      <c r="B20" s="315"/>
      <c r="C20" s="315"/>
      <c r="D20" s="315"/>
      <c r="E20" s="315"/>
      <c r="F20" s="315"/>
      <c r="G20" s="315"/>
      <c r="H20" s="315"/>
      <c r="I20" s="315"/>
      <c r="J20" s="315"/>
      <c r="K20" s="315"/>
      <c r="L20" s="315"/>
      <c r="M20" s="315"/>
      <c r="N20" s="315"/>
      <c r="O20" s="315"/>
      <c r="P20" s="315"/>
      <c r="Q20" s="315"/>
      <c r="R20" s="315"/>
      <c r="S20" s="315"/>
      <c r="T20"/>
      <c r="U20"/>
      <c r="V20"/>
      <c r="W20"/>
    </row>
    <row r="21" spans="1:23" ht="15" x14ac:dyDescent="0.25">
      <c r="A21" s="190" t="s">
        <v>188</v>
      </c>
      <c r="B21" s="191">
        <v>2005</v>
      </c>
      <c r="C21" s="191">
        <v>2006</v>
      </c>
      <c r="D21" s="191">
        <v>2007</v>
      </c>
      <c r="E21" s="191">
        <v>2008</v>
      </c>
      <c r="F21" s="191">
        <v>2009</v>
      </c>
      <c r="G21" s="191">
        <v>2010</v>
      </c>
      <c r="H21" s="191">
        <v>2011</v>
      </c>
      <c r="I21" s="191">
        <v>2012</v>
      </c>
      <c r="J21" s="191">
        <v>2013</v>
      </c>
      <c r="K21" s="191">
        <v>2014</v>
      </c>
      <c r="L21" s="191">
        <v>2015</v>
      </c>
      <c r="M21" s="191">
        <v>2016</v>
      </c>
      <c r="N21" s="191">
        <v>2017</v>
      </c>
      <c r="O21" s="191">
        <v>2018</v>
      </c>
      <c r="P21" s="191">
        <v>2019</v>
      </c>
      <c r="Q21" s="191">
        <v>2020</v>
      </c>
      <c r="R21" s="191">
        <v>2021</v>
      </c>
      <c r="S21" s="191">
        <v>2022</v>
      </c>
      <c r="T21"/>
      <c r="U21"/>
      <c r="V21"/>
      <c r="W21"/>
    </row>
    <row r="22" spans="1:23" ht="15" x14ac:dyDescent="0.25">
      <c r="A22" s="143" t="s">
        <v>232</v>
      </c>
      <c r="B22" s="171">
        <f>(B16-B16)/B16</f>
        <v>0</v>
      </c>
      <c r="C22" s="171">
        <f>(C16-B16)/B16</f>
        <v>6.4528136918563059E-2</v>
      </c>
      <c r="D22" s="171">
        <f>(D16-B16)/B16</f>
        <v>0.12550245661815695</v>
      </c>
      <c r="E22" s="171">
        <f>(E16-B16)/B16</f>
        <v>0.12252526751412524</v>
      </c>
      <c r="F22" s="171">
        <f>(F16-B16)/B16</f>
        <v>0.13342355711716858</v>
      </c>
      <c r="G22" s="171">
        <f>(G16-B16)/B16</f>
        <v>0.11292958940545873</v>
      </c>
      <c r="H22" s="171">
        <f>(H16-B16)/B16</f>
        <v>0.23528954250271072</v>
      </c>
      <c r="I22" s="171">
        <f>(I16-B16)/B16</f>
        <v>0.19160978774165338</v>
      </c>
      <c r="J22" s="171">
        <f>(J16-B16)/B16</f>
        <v>0.14478195933577856</v>
      </c>
      <c r="K22" s="171">
        <f>(K16-B16)/B16</f>
        <v>9.8652583235818853E-2</v>
      </c>
      <c r="L22" s="171">
        <f>(L16-B16)/B16</f>
        <v>0.10816628124262403</v>
      </c>
      <c r="M22" s="171">
        <f>(M16-B16)/B16</f>
        <v>0.10800509776243659</v>
      </c>
      <c r="N22" s="171">
        <f>(N16-B16)/B16</f>
        <v>0.16062735626277938</v>
      </c>
      <c r="O22" s="171">
        <f>(O16-B16)/B16</f>
        <v>0.25515244225888956</v>
      </c>
      <c r="P22" s="171">
        <f>(P16-B16)/B16</f>
        <v>0.2339072078363455</v>
      </c>
      <c r="Q22" s="171">
        <f>(Q16-B16)/B16</f>
        <v>0.20993301012931767</v>
      </c>
      <c r="R22" s="171">
        <f>(R16-B16)/B16</f>
        <v>0.19732251542502241</v>
      </c>
      <c r="S22" s="171">
        <f>(S16-B16)/B16</f>
        <v>0.34164475351967966</v>
      </c>
      <c r="T22"/>
      <c r="U22"/>
      <c r="V22"/>
      <c r="W22"/>
    </row>
    <row r="23" spans="1:23" ht="15" x14ac:dyDescent="0.25">
      <c r="A23" s="143" t="s">
        <v>228</v>
      </c>
      <c r="B23" s="171">
        <f>(B17-B17)/B17</f>
        <v>0</v>
      </c>
      <c r="C23" s="171">
        <f>(C17-B17)/B17</f>
        <v>2.9175158508729496E-2</v>
      </c>
      <c r="D23" s="171">
        <f>(D17-B17)/B17</f>
        <v>5.5776454276413291E-2</v>
      </c>
      <c r="E23" s="171">
        <f>(E17-B17)/B17</f>
        <v>9.139412268446323E-2</v>
      </c>
      <c r="F23" s="171">
        <f>(F17-B17)/B17</f>
        <v>0.11910252947501507</v>
      </c>
      <c r="G23" s="171">
        <f>(G17-B17)/B17</f>
        <v>0.15740235131795224</v>
      </c>
      <c r="H23" s="171">
        <f>(H17-B17)/B17</f>
        <v>0.1881498813516502</v>
      </c>
      <c r="I23" s="171">
        <f>(I17-B17)/B17</f>
        <v>0.20575936703525671</v>
      </c>
      <c r="J23" s="171">
        <f>(J17-B17)/B17</f>
        <v>0.22286811897209746</v>
      </c>
      <c r="K23" s="171">
        <f>(K17-B17)/B17</f>
        <v>0.24252800759632134</v>
      </c>
      <c r="L23" s="171">
        <f>(L17-B17)/B17</f>
        <v>0.26911365111614605</v>
      </c>
      <c r="M23" s="171">
        <f>(M17-B17)/B17</f>
        <v>0.29608730245078441</v>
      </c>
      <c r="N23" s="171">
        <f>(N17-B17)/B17</f>
        <v>0.32878867302751075</v>
      </c>
      <c r="O23" s="171">
        <f>(O17-B17)/B17</f>
        <v>0.37359733022280672</v>
      </c>
      <c r="P23" s="171">
        <f>(P17-B17)/B17</f>
        <v>0.41982793376923699</v>
      </c>
      <c r="Q23" s="171">
        <f>(Q17-B17)/B17</f>
        <v>0.47607795198254477</v>
      </c>
      <c r="R23" s="171">
        <f>(R17-B17)/B17</f>
        <v>0.48093556078764194</v>
      </c>
      <c r="S23" s="171">
        <f>(S17-B17)/B17</f>
        <v>0.63017271267928177</v>
      </c>
      <c r="T23"/>
      <c r="U23"/>
      <c r="V23"/>
      <c r="W23"/>
    </row>
  </sheetData>
  <mergeCells count="5">
    <mergeCell ref="A14:S14"/>
    <mergeCell ref="A20:S20"/>
    <mergeCell ref="A3:W3"/>
    <mergeCell ref="A9:W9"/>
    <mergeCell ref="A1:AB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477E4-FBED-459F-B487-B0A06F31001E}">
  <sheetPr>
    <tabColor rgb="FFA2AE74"/>
  </sheetPr>
  <dimension ref="A1:AI79"/>
  <sheetViews>
    <sheetView zoomScaleNormal="100" workbookViewId="0">
      <selection activeCell="A2" sqref="A2"/>
    </sheetView>
  </sheetViews>
  <sheetFormatPr defaultColWidth="9.140625" defaultRowHeight="14.25" x14ac:dyDescent="0.2"/>
  <cols>
    <col min="1" max="1" width="10" style="1" bestFit="1" customWidth="1"/>
    <col min="2" max="2" width="13.140625" style="1" bestFit="1" customWidth="1"/>
    <col min="3" max="3" width="17" style="1" bestFit="1" customWidth="1"/>
    <col min="4" max="4" width="9.140625" style="39" bestFit="1" customWidth="1"/>
    <col min="5" max="5" width="10.7109375" style="1" customWidth="1"/>
    <col min="6" max="6" width="44.140625" style="1" bestFit="1" customWidth="1"/>
    <col min="7" max="7" width="10.42578125" style="1" customWidth="1"/>
    <col min="8" max="8" width="20.85546875" style="1" customWidth="1"/>
    <col min="9" max="11" width="9.28515625" style="1" bestFit="1" customWidth="1"/>
    <col min="12" max="12" width="9.140625" style="1" bestFit="1" customWidth="1"/>
    <col min="13" max="13" width="8.42578125" style="1" bestFit="1" customWidth="1"/>
    <col min="14" max="14" width="6.5703125" style="1" bestFit="1" customWidth="1"/>
    <col min="15" max="15" width="9.140625" style="40" bestFit="1" customWidth="1"/>
    <col min="16" max="17" width="6.5703125" style="1" bestFit="1" customWidth="1"/>
    <col min="18" max="18" width="9.140625" style="1" bestFit="1" customWidth="1"/>
    <col min="19" max="19" width="6.5703125" style="1" bestFit="1" customWidth="1"/>
    <col min="20" max="22" width="9.140625" style="1"/>
    <col min="23" max="23" width="6.85546875" style="1" bestFit="1" customWidth="1"/>
    <col min="24" max="25" width="6.85546875" style="1" customWidth="1"/>
    <col min="26" max="26" width="7.42578125" style="1" bestFit="1" customWidth="1"/>
    <col min="27" max="30" width="9.140625" style="1"/>
    <col min="31" max="31" width="10.140625" style="1" bestFit="1" customWidth="1"/>
    <col min="32" max="33" width="9.140625" style="1"/>
    <col min="34" max="34" width="33.5703125" style="1" customWidth="1"/>
    <col min="35" max="35" width="2.85546875" style="84" customWidth="1"/>
    <col min="36" max="16384" width="9.140625" style="1"/>
  </cols>
  <sheetData>
    <row r="1" spans="1:27" ht="23.25" x14ac:dyDescent="0.35">
      <c r="A1" s="262" t="s">
        <v>233</v>
      </c>
      <c r="B1" s="262"/>
      <c r="C1" s="262"/>
      <c r="D1" s="262"/>
      <c r="E1" s="262"/>
      <c r="F1" s="262"/>
      <c r="G1" s="262"/>
      <c r="H1" s="262"/>
      <c r="I1" s="262"/>
      <c r="J1" s="262"/>
      <c r="K1" s="262"/>
      <c r="L1" s="262"/>
      <c r="M1" s="262"/>
      <c r="N1" s="262"/>
      <c r="O1" s="262"/>
      <c r="P1" s="262"/>
      <c r="Q1" s="262"/>
      <c r="R1" s="262"/>
      <c r="S1" s="262"/>
      <c r="T1" s="262"/>
      <c r="U1" s="262"/>
      <c r="V1" s="262"/>
      <c r="W1" s="262"/>
      <c r="X1" s="262"/>
      <c r="Y1" s="262"/>
      <c r="Z1" s="262"/>
      <c r="AA1" s="262"/>
    </row>
    <row r="3" spans="1:27" ht="15" x14ac:dyDescent="0.25">
      <c r="A3" s="194" t="s">
        <v>234</v>
      </c>
      <c r="B3" s="194"/>
      <c r="C3" s="194"/>
      <c r="D3" s="194"/>
      <c r="F3" s="320" t="s">
        <v>235</v>
      </c>
      <c r="G3" s="320"/>
      <c r="H3" s="320"/>
    </row>
    <row r="4" spans="1:27" ht="28.5" x14ac:dyDescent="0.2">
      <c r="A4" s="192" t="s">
        <v>236</v>
      </c>
      <c r="B4" s="192" t="s">
        <v>237</v>
      </c>
      <c r="C4" s="193" t="s">
        <v>238</v>
      </c>
      <c r="D4" s="1"/>
      <c r="F4" s="192" t="s">
        <v>239</v>
      </c>
      <c r="G4" s="193" t="s">
        <v>240</v>
      </c>
      <c r="H4" s="37" t="s">
        <v>241</v>
      </c>
      <c r="O4" s="1"/>
    </row>
    <row r="5" spans="1:27" x14ac:dyDescent="0.2">
      <c r="A5" s="160">
        <v>43313</v>
      </c>
      <c r="B5" s="159">
        <v>845</v>
      </c>
      <c r="C5" s="82">
        <v>12.25</v>
      </c>
      <c r="D5" s="1"/>
      <c r="F5" s="1" t="s">
        <v>242</v>
      </c>
      <c r="G5" s="159">
        <v>1471</v>
      </c>
      <c r="H5" s="206" t="s">
        <v>243</v>
      </c>
      <c r="O5" s="1"/>
    </row>
    <row r="6" spans="1:27" x14ac:dyDescent="0.2">
      <c r="A6" s="160">
        <v>43344</v>
      </c>
      <c r="B6" s="159">
        <v>921</v>
      </c>
      <c r="C6" s="82">
        <v>12.49</v>
      </c>
      <c r="D6" s="1"/>
      <c r="F6" s="1" t="s">
        <v>244</v>
      </c>
      <c r="G6" s="159">
        <v>355</v>
      </c>
      <c r="H6" s="206" t="s">
        <v>245</v>
      </c>
      <c r="O6" s="1"/>
    </row>
    <row r="7" spans="1:27" x14ac:dyDescent="0.2">
      <c r="A7" s="160">
        <v>43374</v>
      </c>
      <c r="B7" s="159">
        <v>874</v>
      </c>
      <c r="C7" s="82">
        <v>12.98</v>
      </c>
      <c r="D7" s="1"/>
      <c r="F7" s="1" t="s">
        <v>246</v>
      </c>
      <c r="G7" s="159">
        <v>253</v>
      </c>
      <c r="H7" s="206" t="s">
        <v>247</v>
      </c>
      <c r="O7" s="1"/>
    </row>
    <row r="8" spans="1:27" x14ac:dyDescent="0.2">
      <c r="A8" s="160">
        <v>43405</v>
      </c>
      <c r="B8" s="159">
        <v>739</v>
      </c>
      <c r="C8" s="82">
        <v>13.23</v>
      </c>
      <c r="D8" s="1"/>
      <c r="F8" s="1" t="s">
        <v>248</v>
      </c>
      <c r="G8" s="159">
        <v>211</v>
      </c>
      <c r="H8" s="206" t="s">
        <v>249</v>
      </c>
      <c r="O8" s="1"/>
    </row>
    <row r="9" spans="1:27" x14ac:dyDescent="0.2">
      <c r="A9" s="160">
        <v>43435</v>
      </c>
      <c r="B9" s="159">
        <v>741</v>
      </c>
      <c r="C9" s="82">
        <v>12.98</v>
      </c>
      <c r="D9" s="1"/>
      <c r="F9" s="1" t="s">
        <v>250</v>
      </c>
      <c r="G9" s="159">
        <v>98</v>
      </c>
      <c r="H9" s="206" t="s">
        <v>245</v>
      </c>
      <c r="O9" s="1"/>
    </row>
    <row r="10" spans="1:27" x14ac:dyDescent="0.2">
      <c r="A10" s="160">
        <v>43466</v>
      </c>
      <c r="B10" s="159">
        <v>701</v>
      </c>
      <c r="C10" s="82">
        <v>12.49</v>
      </c>
      <c r="D10" s="1"/>
      <c r="F10" s="1" t="s">
        <v>251</v>
      </c>
      <c r="G10" s="159">
        <v>96</v>
      </c>
      <c r="H10" s="206" t="s">
        <v>252</v>
      </c>
      <c r="O10" s="1"/>
    </row>
    <row r="11" spans="1:27" x14ac:dyDescent="0.2">
      <c r="A11" s="160">
        <v>43497</v>
      </c>
      <c r="B11" s="159">
        <v>713</v>
      </c>
      <c r="C11" s="82">
        <v>12.49</v>
      </c>
      <c r="D11" s="1"/>
      <c r="F11" s="1" t="s">
        <v>253</v>
      </c>
      <c r="G11" s="159">
        <v>89</v>
      </c>
      <c r="H11" s="206" t="s">
        <v>254</v>
      </c>
      <c r="O11" s="1"/>
    </row>
    <row r="12" spans="1:27" x14ac:dyDescent="0.2">
      <c r="A12" s="160">
        <v>43525</v>
      </c>
      <c r="B12" s="159">
        <v>850</v>
      </c>
      <c r="C12" s="82">
        <v>12</v>
      </c>
      <c r="D12" s="1"/>
      <c r="F12" s="1" t="s">
        <v>255</v>
      </c>
      <c r="G12" s="159">
        <v>85</v>
      </c>
      <c r="H12" s="206" t="s">
        <v>256</v>
      </c>
      <c r="O12" s="1"/>
    </row>
    <row r="13" spans="1:27" x14ac:dyDescent="0.2">
      <c r="A13" s="160">
        <v>43556</v>
      </c>
      <c r="B13" s="159">
        <v>779</v>
      </c>
      <c r="C13" s="82">
        <v>12.49</v>
      </c>
      <c r="D13" s="1"/>
      <c r="F13" s="1" t="s">
        <v>257</v>
      </c>
      <c r="G13" s="159">
        <v>77</v>
      </c>
      <c r="H13" s="206" t="s">
        <v>258</v>
      </c>
      <c r="O13" s="1"/>
    </row>
    <row r="14" spans="1:27" x14ac:dyDescent="0.2">
      <c r="A14" s="160">
        <v>43586</v>
      </c>
      <c r="B14" s="159">
        <v>776</v>
      </c>
      <c r="C14" s="82">
        <v>12.49</v>
      </c>
      <c r="D14" s="1"/>
      <c r="F14" s="1" t="s">
        <v>259</v>
      </c>
      <c r="G14" s="159">
        <v>69</v>
      </c>
      <c r="H14" s="206" t="s">
        <v>256</v>
      </c>
      <c r="O14" s="1"/>
    </row>
    <row r="15" spans="1:27" x14ac:dyDescent="0.2">
      <c r="A15" s="160">
        <v>43617</v>
      </c>
      <c r="B15" s="159">
        <v>658</v>
      </c>
      <c r="C15" s="82">
        <v>12.49</v>
      </c>
      <c r="D15" s="1"/>
      <c r="O15" s="1"/>
    </row>
    <row r="16" spans="1:27" x14ac:dyDescent="0.2">
      <c r="A16" s="160">
        <v>43647</v>
      </c>
      <c r="B16" s="159">
        <v>623</v>
      </c>
      <c r="C16" s="82">
        <v>12.49</v>
      </c>
      <c r="D16" s="1"/>
      <c r="O16" s="1"/>
    </row>
    <row r="17" spans="1:15" x14ac:dyDescent="0.2">
      <c r="A17" s="160">
        <v>43678</v>
      </c>
      <c r="B17" s="159">
        <v>790</v>
      </c>
      <c r="C17" s="82">
        <v>12.18</v>
      </c>
      <c r="D17" s="1"/>
      <c r="O17" s="1"/>
    </row>
    <row r="18" spans="1:15" x14ac:dyDescent="0.2">
      <c r="A18" s="160">
        <v>43709</v>
      </c>
      <c r="B18" s="159">
        <v>855</v>
      </c>
      <c r="C18" s="82">
        <v>12.49</v>
      </c>
      <c r="D18" s="1"/>
      <c r="I18" s="39"/>
      <c r="O18" s="1"/>
    </row>
    <row r="19" spans="1:15" x14ac:dyDescent="0.2">
      <c r="A19" s="160">
        <v>43739</v>
      </c>
      <c r="B19" s="159">
        <v>863</v>
      </c>
      <c r="C19" s="82">
        <v>12.49</v>
      </c>
      <c r="D19" s="1"/>
      <c r="I19" s="39"/>
      <c r="O19" s="1"/>
    </row>
    <row r="20" spans="1:15" x14ac:dyDescent="0.2">
      <c r="A20" s="160">
        <v>43770</v>
      </c>
      <c r="B20" s="159">
        <v>816</v>
      </c>
      <c r="C20" s="82">
        <v>12.31</v>
      </c>
      <c r="D20" s="1"/>
      <c r="I20" s="39"/>
      <c r="O20" s="1"/>
    </row>
    <row r="21" spans="1:15" x14ac:dyDescent="0.2">
      <c r="A21" s="160">
        <v>43800</v>
      </c>
      <c r="B21" s="159">
        <v>765</v>
      </c>
      <c r="C21" s="82">
        <v>12.49</v>
      </c>
      <c r="D21" s="1"/>
      <c r="I21" s="39"/>
      <c r="O21" s="1"/>
    </row>
    <row r="22" spans="1:15" x14ac:dyDescent="0.2">
      <c r="A22" s="160">
        <v>43831</v>
      </c>
      <c r="B22" s="159">
        <v>690</v>
      </c>
      <c r="C22" s="82">
        <v>12.98</v>
      </c>
      <c r="D22" s="1"/>
      <c r="I22" s="39"/>
      <c r="O22" s="1"/>
    </row>
    <row r="23" spans="1:15" x14ac:dyDescent="0.2">
      <c r="A23" s="160">
        <v>43862</v>
      </c>
      <c r="B23" s="159">
        <v>688</v>
      </c>
      <c r="C23" s="82">
        <v>12.49</v>
      </c>
      <c r="D23" s="1"/>
      <c r="O23" s="1"/>
    </row>
    <row r="24" spans="1:15" x14ac:dyDescent="0.2">
      <c r="A24" s="160">
        <v>43891</v>
      </c>
      <c r="B24" s="159">
        <v>677</v>
      </c>
      <c r="C24" s="82">
        <v>12.49</v>
      </c>
      <c r="D24" s="1"/>
      <c r="O24" s="1"/>
    </row>
    <row r="25" spans="1:15" x14ac:dyDescent="0.2">
      <c r="A25" s="160">
        <v>43922</v>
      </c>
      <c r="B25" s="159">
        <v>449</v>
      </c>
      <c r="C25" s="82">
        <v>12.49</v>
      </c>
      <c r="D25" s="1"/>
      <c r="O25" s="1"/>
    </row>
    <row r="26" spans="1:15" x14ac:dyDescent="0.2">
      <c r="A26" s="160">
        <v>43952</v>
      </c>
      <c r="B26" s="159">
        <v>313</v>
      </c>
      <c r="C26" s="82">
        <v>12.49</v>
      </c>
      <c r="D26" s="1"/>
      <c r="O26" s="1"/>
    </row>
    <row r="27" spans="1:15" x14ac:dyDescent="0.2">
      <c r="A27" s="160">
        <v>43983</v>
      </c>
      <c r="B27" s="159">
        <v>439</v>
      </c>
      <c r="C27" s="82">
        <v>11.45</v>
      </c>
      <c r="D27" s="1"/>
      <c r="O27" s="1"/>
    </row>
    <row r="28" spans="1:15" x14ac:dyDescent="0.2">
      <c r="A28" s="160">
        <v>44013</v>
      </c>
      <c r="B28" s="159">
        <v>644</v>
      </c>
      <c r="C28" s="82">
        <v>11.69</v>
      </c>
      <c r="D28" s="1"/>
      <c r="O28" s="1"/>
    </row>
    <row r="29" spans="1:15" x14ac:dyDescent="0.2">
      <c r="A29" s="160">
        <v>44044</v>
      </c>
      <c r="B29" s="159">
        <v>879</v>
      </c>
      <c r="C29" s="82">
        <v>12</v>
      </c>
      <c r="D29" s="1"/>
      <c r="O29" s="1"/>
    </row>
    <row r="30" spans="1:15" x14ac:dyDescent="0.2">
      <c r="A30" s="160">
        <v>44075</v>
      </c>
      <c r="B30" s="159">
        <v>1004</v>
      </c>
      <c r="C30" s="82">
        <v>12</v>
      </c>
      <c r="D30" s="1"/>
      <c r="O30" s="1"/>
    </row>
    <row r="31" spans="1:15" x14ac:dyDescent="0.2">
      <c r="A31" s="160">
        <v>44105</v>
      </c>
      <c r="B31" s="159">
        <v>1129</v>
      </c>
      <c r="C31" s="82">
        <v>12</v>
      </c>
      <c r="D31" s="1"/>
      <c r="O31" s="1"/>
    </row>
    <row r="32" spans="1:15" x14ac:dyDescent="0.2">
      <c r="A32" s="160">
        <v>44136</v>
      </c>
      <c r="B32" s="159">
        <v>982</v>
      </c>
      <c r="C32" s="82">
        <v>12</v>
      </c>
      <c r="D32" s="1"/>
      <c r="O32" s="1"/>
    </row>
    <row r="33" spans="1:15" x14ac:dyDescent="0.2">
      <c r="A33" s="160">
        <v>44166</v>
      </c>
      <c r="B33" s="159">
        <v>858</v>
      </c>
      <c r="C33" s="82">
        <v>12.86</v>
      </c>
      <c r="D33" s="1"/>
      <c r="O33" s="1"/>
    </row>
    <row r="34" spans="1:15" x14ac:dyDescent="0.2">
      <c r="A34" s="160">
        <v>44197</v>
      </c>
      <c r="B34" s="159">
        <v>832</v>
      </c>
      <c r="C34" s="82">
        <v>12.98</v>
      </c>
      <c r="D34" s="1"/>
      <c r="O34" s="1"/>
    </row>
    <row r="35" spans="1:15" x14ac:dyDescent="0.2">
      <c r="A35" s="160">
        <v>44228</v>
      </c>
      <c r="B35" s="159">
        <v>889</v>
      </c>
      <c r="C35" s="82">
        <v>12.98</v>
      </c>
      <c r="D35" s="1"/>
      <c r="O35" s="1"/>
    </row>
    <row r="36" spans="1:15" x14ac:dyDescent="0.2">
      <c r="A36" s="160">
        <v>44256</v>
      </c>
      <c r="B36" s="159">
        <v>1098</v>
      </c>
      <c r="C36" s="82">
        <v>12.92</v>
      </c>
      <c r="D36" s="1"/>
      <c r="O36" s="1"/>
    </row>
    <row r="37" spans="1:15" x14ac:dyDescent="0.2">
      <c r="A37" s="160">
        <v>44287</v>
      </c>
      <c r="B37" s="159">
        <v>1147</v>
      </c>
      <c r="C37" s="82">
        <v>12.98</v>
      </c>
      <c r="D37" s="1"/>
      <c r="O37" s="1"/>
    </row>
    <row r="38" spans="1:15" x14ac:dyDescent="0.2">
      <c r="A38" s="160">
        <v>44317</v>
      </c>
      <c r="B38" s="159">
        <v>1240</v>
      </c>
      <c r="C38" s="82">
        <v>12.98</v>
      </c>
      <c r="D38" s="1"/>
      <c r="O38" s="1"/>
    </row>
    <row r="39" spans="1:15" x14ac:dyDescent="0.2">
      <c r="A39" s="160">
        <v>44348</v>
      </c>
      <c r="B39" s="159">
        <v>1219</v>
      </c>
      <c r="C39" s="82">
        <v>13.48</v>
      </c>
      <c r="D39" s="1"/>
      <c r="O39" s="1"/>
    </row>
    <row r="40" spans="1:15" x14ac:dyDescent="0.2">
      <c r="A40" s="160">
        <v>44378</v>
      </c>
      <c r="B40" s="159">
        <v>1373</v>
      </c>
      <c r="C40" s="82">
        <v>13.48</v>
      </c>
      <c r="D40" s="1"/>
      <c r="O40" s="1"/>
    </row>
    <row r="41" spans="1:15" x14ac:dyDescent="0.2">
      <c r="A41" s="160">
        <v>44409</v>
      </c>
      <c r="B41" s="159">
        <v>1511</v>
      </c>
      <c r="C41" s="82">
        <v>13.42</v>
      </c>
      <c r="D41" s="1"/>
      <c r="O41" s="1"/>
    </row>
    <row r="42" spans="1:15" x14ac:dyDescent="0.2">
      <c r="A42" s="160">
        <v>44440</v>
      </c>
      <c r="B42" s="159">
        <v>1595</v>
      </c>
      <c r="C42" s="82">
        <v>13.48</v>
      </c>
      <c r="D42" s="1"/>
      <c r="O42" s="1"/>
    </row>
    <row r="43" spans="1:15" x14ac:dyDescent="0.2">
      <c r="A43" s="160">
        <v>44470</v>
      </c>
      <c r="B43" s="159">
        <v>1541</v>
      </c>
      <c r="C43" s="82">
        <v>13.48</v>
      </c>
      <c r="D43" s="1"/>
      <c r="O43" s="1"/>
    </row>
    <row r="44" spans="1:15" x14ac:dyDescent="0.2">
      <c r="A44" s="160">
        <v>44501</v>
      </c>
      <c r="B44" s="159">
        <v>1385</v>
      </c>
      <c r="C44" s="82">
        <v>13.48</v>
      </c>
      <c r="D44" s="1"/>
      <c r="O44" s="1"/>
    </row>
    <row r="45" spans="1:15" x14ac:dyDescent="0.2">
      <c r="A45" s="160">
        <v>44531</v>
      </c>
      <c r="B45" s="159">
        <v>1188</v>
      </c>
      <c r="C45" s="82">
        <v>13.48</v>
      </c>
      <c r="D45" s="1"/>
      <c r="O45" s="1"/>
    </row>
    <row r="46" spans="1:15" x14ac:dyDescent="0.2">
      <c r="A46" s="160">
        <v>44562</v>
      </c>
      <c r="B46" s="159">
        <v>1022</v>
      </c>
      <c r="C46" s="82">
        <v>13.72</v>
      </c>
      <c r="D46" s="1"/>
      <c r="O46" s="1"/>
    </row>
    <row r="47" spans="1:15" x14ac:dyDescent="0.2">
      <c r="A47" s="160">
        <v>44593</v>
      </c>
      <c r="B47" s="159">
        <v>1069</v>
      </c>
      <c r="C47" s="82">
        <v>13.72</v>
      </c>
      <c r="D47" s="1"/>
      <c r="O47" s="1"/>
    </row>
    <row r="48" spans="1:15" x14ac:dyDescent="0.2">
      <c r="A48" s="160">
        <v>44621</v>
      </c>
      <c r="B48" s="159">
        <v>1128</v>
      </c>
      <c r="C48" s="82">
        <v>13.78</v>
      </c>
      <c r="D48" s="1"/>
      <c r="O48" s="1"/>
    </row>
    <row r="49" spans="1:15" x14ac:dyDescent="0.2">
      <c r="A49" s="160">
        <v>44652</v>
      </c>
      <c r="B49" s="159">
        <v>1077</v>
      </c>
      <c r="C49" s="82">
        <v>13.97</v>
      </c>
      <c r="D49" s="1"/>
      <c r="O49" s="1"/>
    </row>
    <row r="50" spans="1:15" x14ac:dyDescent="0.2">
      <c r="A50" s="160">
        <v>44682</v>
      </c>
      <c r="B50" s="159">
        <v>1031</v>
      </c>
      <c r="C50" s="82">
        <v>13.97</v>
      </c>
      <c r="D50" s="1"/>
      <c r="O50" s="1"/>
    </row>
    <row r="51" spans="1:15" x14ac:dyDescent="0.2">
      <c r="A51" s="160">
        <v>44713</v>
      </c>
      <c r="B51" s="159">
        <v>987</v>
      </c>
      <c r="C51" s="82">
        <v>14.22</v>
      </c>
      <c r="D51" s="1"/>
      <c r="O51" s="1"/>
    </row>
    <row r="52" spans="1:15" x14ac:dyDescent="0.2">
      <c r="A52" s="160">
        <v>44743</v>
      </c>
      <c r="B52" s="159">
        <v>1145</v>
      </c>
      <c r="C52" s="82">
        <v>14.95</v>
      </c>
      <c r="D52" s="1"/>
      <c r="O52" s="1"/>
    </row>
    <row r="53" spans="1:15" x14ac:dyDescent="0.2">
      <c r="A53" s="160">
        <v>44774</v>
      </c>
      <c r="B53" s="159">
        <v>1298</v>
      </c>
      <c r="C53" s="82">
        <v>14.95</v>
      </c>
      <c r="D53" s="1"/>
      <c r="O53" s="1"/>
    </row>
    <row r="54" spans="1:15" x14ac:dyDescent="0.2">
      <c r="A54" s="160">
        <v>44805</v>
      </c>
      <c r="B54" s="159">
        <v>1207</v>
      </c>
      <c r="C54" s="82">
        <v>14.95</v>
      </c>
      <c r="D54" s="1"/>
      <c r="O54" s="1"/>
    </row>
    <row r="55" spans="1:15" x14ac:dyDescent="0.2">
      <c r="A55" s="160">
        <v>44835</v>
      </c>
      <c r="B55" s="159">
        <v>1195</v>
      </c>
      <c r="C55" s="82">
        <v>14.95</v>
      </c>
      <c r="D55" s="1"/>
      <c r="O55" s="1"/>
    </row>
    <row r="56" spans="1:15" x14ac:dyDescent="0.2">
      <c r="A56" s="160">
        <v>44866</v>
      </c>
      <c r="B56" s="159">
        <v>1028</v>
      </c>
      <c r="C56" s="82">
        <v>14.95</v>
      </c>
      <c r="D56" s="161"/>
      <c r="O56" s="1"/>
    </row>
    <row r="57" spans="1:15" x14ac:dyDescent="0.2">
      <c r="A57" s="160">
        <v>44896</v>
      </c>
      <c r="B57" s="159">
        <v>993</v>
      </c>
      <c r="C57" s="82">
        <v>14.71</v>
      </c>
      <c r="D57" s="1"/>
      <c r="O57" s="1"/>
    </row>
    <row r="58" spans="1:15" x14ac:dyDescent="0.2">
      <c r="A58" s="160">
        <v>44927</v>
      </c>
      <c r="B58" s="159">
        <v>942</v>
      </c>
      <c r="C58" s="82">
        <v>14.46</v>
      </c>
      <c r="D58" s="1"/>
      <c r="O58" s="1"/>
    </row>
    <row r="59" spans="1:15" x14ac:dyDescent="0.2">
      <c r="A59" s="160">
        <v>44958</v>
      </c>
      <c r="B59" s="159">
        <v>955</v>
      </c>
      <c r="C59" s="82">
        <v>14.95</v>
      </c>
      <c r="D59" s="1"/>
      <c r="O59" s="1"/>
    </row>
    <row r="60" spans="1:15" x14ac:dyDescent="0.2">
      <c r="A60" s="160">
        <v>44986</v>
      </c>
      <c r="B60" s="159">
        <v>1020</v>
      </c>
      <c r="C60" s="82">
        <v>14.95</v>
      </c>
      <c r="D60" s="1"/>
      <c r="O60" s="1"/>
    </row>
    <row r="61" spans="1:15" x14ac:dyDescent="0.2">
      <c r="A61" s="160">
        <v>45017</v>
      </c>
      <c r="B61" s="159">
        <v>1097</v>
      </c>
      <c r="C61" s="82">
        <v>14.95</v>
      </c>
      <c r="D61" s="1"/>
      <c r="O61" s="1"/>
    </row>
    <row r="62" spans="1:15" x14ac:dyDescent="0.2">
      <c r="A62" s="160">
        <v>45047</v>
      </c>
      <c r="B62" s="159">
        <v>1039</v>
      </c>
      <c r="C62" s="82">
        <v>15.45</v>
      </c>
      <c r="D62" s="1"/>
      <c r="O62" s="1"/>
    </row>
    <row r="63" spans="1:15" x14ac:dyDescent="0.2">
      <c r="A63" s="160">
        <v>45078</v>
      </c>
      <c r="B63" s="159">
        <v>1062</v>
      </c>
      <c r="C63" s="82">
        <v>16.059999999999999</v>
      </c>
      <c r="D63" s="1"/>
      <c r="O63" s="1"/>
    </row>
    <row r="64" spans="1:15" x14ac:dyDescent="0.2">
      <c r="A64" s="160">
        <v>45108</v>
      </c>
      <c r="B64" s="159">
        <v>1104</v>
      </c>
      <c r="C64" s="82">
        <v>16.059999999999999</v>
      </c>
      <c r="D64" s="1"/>
      <c r="O64" s="1"/>
    </row>
    <row r="65" spans="1:15" x14ac:dyDescent="0.2">
      <c r="A65" s="160"/>
      <c r="C65" s="82"/>
      <c r="D65" s="1"/>
      <c r="O65" s="1"/>
    </row>
    <row r="66" spans="1:15" x14ac:dyDescent="0.2">
      <c r="O66" s="1"/>
    </row>
    <row r="67" spans="1:15" x14ac:dyDescent="0.2">
      <c r="O67" s="1"/>
    </row>
    <row r="68" spans="1:15" x14ac:dyDescent="0.2">
      <c r="O68" s="1"/>
    </row>
    <row r="69" spans="1:15" x14ac:dyDescent="0.2">
      <c r="O69" s="1"/>
    </row>
    <row r="70" spans="1:15" x14ac:dyDescent="0.2">
      <c r="O70" s="1"/>
    </row>
    <row r="71" spans="1:15" x14ac:dyDescent="0.2">
      <c r="O71" s="1"/>
    </row>
    <row r="72" spans="1:15" x14ac:dyDescent="0.2">
      <c r="O72" s="1"/>
    </row>
    <row r="73" spans="1:15" x14ac:dyDescent="0.2">
      <c r="O73" s="1"/>
    </row>
    <row r="74" spans="1:15" x14ac:dyDescent="0.2">
      <c r="O74" s="1"/>
    </row>
    <row r="75" spans="1:15" x14ac:dyDescent="0.2">
      <c r="O75" s="1"/>
    </row>
    <row r="76" spans="1:15" x14ac:dyDescent="0.2">
      <c r="O76" s="1"/>
    </row>
    <row r="77" spans="1:15" x14ac:dyDescent="0.2">
      <c r="O77" s="1"/>
    </row>
    <row r="78" spans="1:15" x14ac:dyDescent="0.2">
      <c r="O78" s="1"/>
    </row>
    <row r="79" spans="1:15" x14ac:dyDescent="0.2">
      <c r="O79" s="1"/>
    </row>
  </sheetData>
  <sortState xmlns:xlrd2="http://schemas.microsoft.com/office/spreadsheetml/2017/richdata2" ref="A5:C64">
    <sortCondition ref="A5:A64"/>
  </sortState>
  <mergeCells count="2">
    <mergeCell ref="A1:AA1"/>
    <mergeCell ref="F3:H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B1F1EFF8A3CB47B12ABB4D7F9C0359" ma:contentTypeVersion="17" ma:contentTypeDescription="Create a new document." ma:contentTypeScope="" ma:versionID="d56ad67d3f3ec59dde50ebe48e9f1152">
  <xsd:schema xmlns:xsd="http://www.w3.org/2001/XMLSchema" xmlns:xs="http://www.w3.org/2001/XMLSchema" xmlns:p="http://schemas.microsoft.com/office/2006/metadata/properties" xmlns:ns2="bbb833f9-8d39-4014-89df-b80a2295c159" xmlns:ns3="4af6a590-cd46-4f33-908b-d7bae934b03d" targetNamespace="http://schemas.microsoft.com/office/2006/metadata/properties" ma:root="true" ma:fieldsID="94c164710f8567051527c607844643a6" ns2:_="" ns3:_="">
    <xsd:import namespace="bbb833f9-8d39-4014-89df-b80a2295c159"/>
    <xsd:import namespace="4af6a590-cd46-4f33-908b-d7bae934b0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833f9-8d39-4014-89df-b80a2295c1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967bc0a-00cb-4799-88cf-00a717b0686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f6a590-cd46-4f33-908b-d7bae934b03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841ea7d-4aac-4d45-8da5-e55939d21bd4}" ma:internalName="TaxCatchAll" ma:showField="CatchAllData" ma:web="4af6a590-cd46-4f33-908b-d7bae934b0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bb833f9-8d39-4014-89df-b80a2295c159">
      <Terms xmlns="http://schemas.microsoft.com/office/infopath/2007/PartnerControls"/>
    </lcf76f155ced4ddcb4097134ff3c332f>
    <TaxCatchAll xmlns="4af6a590-cd46-4f33-908b-d7bae934b03d" xsi:nil="true"/>
  </documentManagement>
</p:properties>
</file>

<file path=customXml/itemProps1.xml><?xml version="1.0" encoding="utf-8"?>
<ds:datastoreItem xmlns:ds="http://schemas.openxmlformats.org/officeDocument/2006/customXml" ds:itemID="{334B333D-E51A-4A0D-9243-2FB2E8EA07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b833f9-8d39-4014-89df-b80a2295c159"/>
    <ds:schemaRef ds:uri="4af6a590-cd46-4f33-908b-d7bae934b0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8E6ABC-05F3-4649-87B5-8660A8355832}">
  <ds:schemaRefs>
    <ds:schemaRef ds:uri="http://schemas.microsoft.com/sharepoint/v3/contenttype/forms"/>
  </ds:schemaRefs>
</ds:datastoreItem>
</file>

<file path=customXml/itemProps3.xml><?xml version="1.0" encoding="utf-8"?>
<ds:datastoreItem xmlns:ds="http://schemas.openxmlformats.org/officeDocument/2006/customXml" ds:itemID="{C00F52E0-7692-4187-88D7-24664B20A148}">
  <ds:schemaRefs>
    <ds:schemaRef ds:uri="http://schemas.microsoft.com/office/2006/metadata/properties"/>
    <ds:schemaRef ds:uri="http://schemas.microsoft.com/office/infopath/2007/PartnerControls"/>
    <ds:schemaRef ds:uri="bbb833f9-8d39-4014-89df-b80a2295c159"/>
    <ds:schemaRef ds:uri="4af6a590-cd46-4f33-908b-d7bae934b0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Main Menu</vt:lpstr>
      <vt:lpstr>1A</vt:lpstr>
      <vt:lpstr>1B</vt:lpstr>
      <vt:lpstr>2A</vt:lpstr>
      <vt:lpstr>2B</vt:lpstr>
      <vt:lpstr>2C</vt:lpstr>
      <vt:lpstr>2E</vt:lpstr>
      <vt:lpstr>2D</vt:lpstr>
      <vt:lpstr>2F</vt:lpstr>
      <vt:lpstr>2G</vt:lpstr>
      <vt:lpstr>3A</vt:lpstr>
      <vt:lpstr>3B</vt:lpstr>
      <vt:lpstr>3C</vt:lpstr>
      <vt:lpstr>3D</vt:lpstr>
      <vt:lpstr>3E</vt:lpstr>
      <vt:lpstr>3F</vt:lpstr>
      <vt:lpstr>3G</vt:lpstr>
      <vt:lpstr>4A</vt:lpstr>
      <vt:lpstr>4B</vt:lpstr>
      <vt:lpstr>4C</vt:lpstr>
      <vt:lpstr>4D</vt:lpstr>
      <vt:lpstr>4E</vt:lpstr>
      <vt:lpstr>4F</vt:lpstr>
      <vt:lpstr>4G</vt:lpstr>
      <vt:lpstr>5A</vt:lpstr>
      <vt:lpstr>5B</vt:lpstr>
      <vt:lpstr>5C</vt:lpstr>
      <vt:lpstr>5D</vt:lpstr>
      <vt:lpstr>5E</vt:lpstr>
      <vt:lpstr>5F</vt:lpstr>
      <vt:lpstr>5G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Andrews</dc:creator>
  <cp:keywords/>
  <dc:description/>
  <cp:lastModifiedBy>Alex Andrews</cp:lastModifiedBy>
  <cp:revision/>
  <dcterms:created xsi:type="dcterms:W3CDTF">2023-03-27T15:01:32Z</dcterms:created>
  <dcterms:modified xsi:type="dcterms:W3CDTF">2023-11-15T18:59:55Z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0x010100B1B1F1EFF8A3CB47B12ABB4D7F9C0359</vt:lpwstr>
  </property>
  <property fmtid="{D5CDD505-2E9C-101B-9397-08002B2CF9AE}" pid="3" name="MediaServiceImageTags">
    <vt:lpwstr/>
  </property>
</Properties>
</file>